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795" windowWidth="11820" windowHeight="5910" tabRatio="886" activeTab="3"/>
  </bookViews>
  <sheets>
    <sheet name="Financijski plan-naslov-2017-OK" sheetId="1" r:id="rId1"/>
    <sheet name="Prva stranica-OK" sheetId="2" r:id="rId2"/>
    <sheet name="Prihodi-dijagrami-2013" sheetId="3" r:id="rId3"/>
    <sheet name="Rashodi-rekapit.-analitika" sheetId="4" r:id="rId4"/>
    <sheet name="Poslovne jedinice-rekapit" sheetId="5" r:id="rId5"/>
    <sheet name="PJ-čistoća-prihod-ok" sheetId="6" r:id="rId6"/>
    <sheet name="List1" sheetId="7" r:id="rId7"/>
    <sheet name="PJ-čistoća-rashod-ok" sheetId="8" r:id="rId8"/>
    <sheet name="PJ-PiJP-prihod-ok" sheetId="9" r:id="rId9"/>
    <sheet name="PJ-PiJP-rashod-ok" sheetId="10" r:id="rId10"/>
    <sheet name="PJ-GiPU-prihod-ok" sheetId="11" r:id="rId11"/>
    <sheet name="PJ-GiPU-rashod-ok" sheetId="12" r:id="rId12"/>
    <sheet name="PJ PARKING PRHOD" sheetId="13" r:id="rId13"/>
    <sheet name="PJ PARKING RASHOD" sheetId="14" r:id="rId14"/>
    <sheet name="PJ-ZS-rashod-ok" sheetId="15" r:id="rId15"/>
  </sheets>
  <definedNames>
    <definedName name="_xlnm.Print_Area" localSheetId="2">'Prihodi-dijagrami-2013'!$A$1:$W$211</definedName>
    <definedName name="_xlnm.Print_Area" localSheetId="1">'Prva stranica-OK'!$A$1:$K$158</definedName>
  </definedNames>
  <calcPr fullCalcOnLoad="1"/>
</workbook>
</file>

<file path=xl/sharedStrings.xml><?xml version="1.0" encoding="utf-8"?>
<sst xmlns="http://schemas.openxmlformats.org/spreadsheetml/2006/main" count="1752" uniqueCount="426">
  <si>
    <t>1.</t>
  </si>
  <si>
    <t>2.</t>
  </si>
  <si>
    <t>3.</t>
  </si>
  <si>
    <t>4.</t>
  </si>
  <si>
    <t>5.</t>
  </si>
  <si>
    <t>6.</t>
  </si>
  <si>
    <t>7.</t>
  </si>
  <si>
    <t>RASHODI</t>
  </si>
  <si>
    <t>8.</t>
  </si>
  <si>
    <t>Odvoz komunalnog otpada</t>
  </si>
  <si>
    <t>9.</t>
  </si>
  <si>
    <t>Ukupno</t>
  </si>
  <si>
    <t>Ukupno :</t>
  </si>
  <si>
    <t>Indeks</t>
  </si>
  <si>
    <t>Održavanje grobalja i pogrebne usluge</t>
  </si>
  <si>
    <t>(%)</t>
  </si>
  <si>
    <t>(kn)</t>
  </si>
  <si>
    <t>Iznos</t>
  </si>
  <si>
    <t xml:space="preserve">Udio </t>
  </si>
  <si>
    <t>Plaća radnika</t>
  </si>
  <si>
    <t>Amortizacija</t>
  </si>
  <si>
    <t>Darovi djeci</t>
  </si>
  <si>
    <t>Trošak prodane robe</t>
  </si>
  <si>
    <t>Troškovi vanjskih usluga</t>
  </si>
  <si>
    <t>Plaće radnika</t>
  </si>
  <si>
    <t>Ostali troškovi</t>
  </si>
  <si>
    <t>Financijski troškovi</t>
  </si>
  <si>
    <t>Sirovine i materijal</t>
  </si>
  <si>
    <t>Udio</t>
  </si>
  <si>
    <t>UKUPAN PRIHOD</t>
  </si>
  <si>
    <t>UKUPNO RASHODI</t>
  </si>
  <si>
    <t>POREZ NA DOBIT</t>
  </si>
  <si>
    <t>Godina</t>
  </si>
  <si>
    <t>*</t>
  </si>
  <si>
    <t>(</t>
  </si>
  <si>
    <t>Ê</t>
  </si>
  <si>
    <t>Obrazloženja</t>
  </si>
  <si>
    <t xml:space="preserve">Sirovine i materijal </t>
  </si>
  <si>
    <t xml:space="preserve">Trošak vanjskih usluga planiran je za usluge vezane uz tekuće poslovanje koje </t>
  </si>
  <si>
    <t xml:space="preserve">Trošak  prodane robe odnosi se na nabavnu vrijednost planirane prodane </t>
  </si>
  <si>
    <t>(5/3)</t>
  </si>
  <si>
    <t>bankarske usluge i dr.</t>
  </si>
  <si>
    <t xml:space="preserve">Ostalim troškovima obuhvaćene su planirane: isplate ostalih materijalnih </t>
  </si>
  <si>
    <t>Poslovne jedinice</t>
  </si>
  <si>
    <t>Parkovi i javne površine</t>
  </si>
  <si>
    <t>Groblja i pogrebne usluge</t>
  </si>
  <si>
    <t>Zajedničke službe</t>
  </si>
  <si>
    <t>SVEUKUPNO PRIHODI:</t>
  </si>
  <si>
    <t>SVEUKUPNO RASHODI:</t>
  </si>
  <si>
    <t>3.8.4. POSLOVNE JEDINICE - PRIHODI - ANALITIKA</t>
  </si>
  <si>
    <t>Gospodarstvo</t>
  </si>
  <si>
    <t>Grad Novi Vinodolski</t>
  </si>
  <si>
    <t>Općina Vinodolska</t>
  </si>
  <si>
    <t>1.1.</t>
  </si>
  <si>
    <t>1.1.1.</t>
  </si>
  <si>
    <t>1.1.2.</t>
  </si>
  <si>
    <t>1.2.</t>
  </si>
  <si>
    <t>Građanstvo</t>
  </si>
  <si>
    <t>1.2.1.</t>
  </si>
  <si>
    <t>1.2.2.</t>
  </si>
  <si>
    <t>Odlagalište komunalnog otpada</t>
  </si>
  <si>
    <t>GKTD "Murvica" d.o.o.</t>
  </si>
  <si>
    <t>2.1.</t>
  </si>
  <si>
    <t>2.2.</t>
  </si>
  <si>
    <t>2.3.</t>
  </si>
  <si>
    <t>Ukupni prihodi :</t>
  </si>
  <si>
    <t>A.</t>
  </si>
  <si>
    <t>B.</t>
  </si>
  <si>
    <t>RASHODI (kn)</t>
  </si>
  <si>
    <t>DOBIT (kn):</t>
  </si>
  <si>
    <t>Parkovi i zelene površine</t>
  </si>
  <si>
    <t>Javne površine</t>
  </si>
  <si>
    <t>Naknada za grobna mjesta</t>
  </si>
  <si>
    <t>Pogrebne usluge</t>
  </si>
  <si>
    <t>Ukupno troškovi usluga</t>
  </si>
  <si>
    <t>Index</t>
  </si>
  <si>
    <t>5/3</t>
  </si>
  <si>
    <t>Vrijednosno uskl.kupaca</t>
  </si>
  <si>
    <t xml:space="preserve">       www.ivanj.net</t>
  </si>
  <si>
    <t xml:space="preserve">           www.ivanj.net</t>
  </si>
  <si>
    <t xml:space="preserve">              www.ivanj.net</t>
  </si>
  <si>
    <t>PJ "PARKOVI I JAVNE POVRŠINE"</t>
  </si>
  <si>
    <t>kn</t>
  </si>
  <si>
    <t>Ostali prihodi-dotacije</t>
  </si>
  <si>
    <t>PJ"GROBLJA I POGREBNE USLUGE"</t>
  </si>
  <si>
    <t xml:space="preserve">Index </t>
  </si>
  <si>
    <t>DOBIT PO ZAPOSLENOM</t>
  </si>
  <si>
    <t>DOBIT NAKON POREZA</t>
  </si>
  <si>
    <t>DOBIT PRIJE POREZA</t>
  </si>
  <si>
    <t>PRIHODI</t>
  </si>
  <si>
    <t>2009.</t>
  </si>
  <si>
    <t>Direktor :</t>
  </si>
  <si>
    <t>xx</t>
  </si>
  <si>
    <t>10.</t>
  </si>
  <si>
    <t>2.4.</t>
  </si>
  <si>
    <t>Odlagalište građevnog otpada</t>
  </si>
  <si>
    <t>Kamate</t>
  </si>
  <si>
    <t>Otpremnine za mirovinu</t>
  </si>
  <si>
    <t>Ostali troškovi poslovanja</t>
  </si>
  <si>
    <t>RASHODI (kn) :</t>
  </si>
  <si>
    <t>RASHODI (kn):</t>
  </si>
  <si>
    <t>PRIHODI (kn) :</t>
  </si>
  <si>
    <t>Ukupno rashodi :</t>
  </si>
  <si>
    <t>Prodaja grobnica</t>
  </si>
  <si>
    <t>Prodaja robe</t>
  </si>
  <si>
    <t>DOBIT/GUBITAK  (kn):</t>
  </si>
  <si>
    <t>Ostali poslovni prihodi</t>
  </si>
  <si>
    <t>POSLOVNI PRIHODI</t>
  </si>
  <si>
    <t>I</t>
  </si>
  <si>
    <t>II</t>
  </si>
  <si>
    <t>FINANCIJSKI PRIHODI</t>
  </si>
  <si>
    <t>proizvoda ,robe i usluga</t>
  </si>
  <si>
    <t xml:space="preserve">Prihodi od prodaje proizvoda,roba i usluga </t>
  </si>
  <si>
    <t xml:space="preserve">Prihodi od prodaje ostalih nesp. usluga  </t>
  </si>
  <si>
    <t>POSLOVNI RASHODI</t>
  </si>
  <si>
    <t>Materijalni troškovi</t>
  </si>
  <si>
    <t>1.3.</t>
  </si>
  <si>
    <t>Trošak osoblja</t>
  </si>
  <si>
    <t>Neto plaće i nadnice</t>
  </si>
  <si>
    <t>Troškovi poreza i dop.iz plaća</t>
  </si>
  <si>
    <t>Doprinosi na plaće</t>
  </si>
  <si>
    <t>Vrijednosno usklađenje krat.im.</t>
  </si>
  <si>
    <t>Ostali poslovni rashodi</t>
  </si>
  <si>
    <t>IV</t>
  </si>
  <si>
    <t>FINANCIJSKI RASHODI</t>
  </si>
  <si>
    <t xml:space="preserve">Kamate </t>
  </si>
  <si>
    <t>1.4.</t>
  </si>
  <si>
    <t>Nabavna vrijed. prodane nekr.</t>
  </si>
  <si>
    <t>Alen Bruketa, ing. građ.</t>
  </si>
  <si>
    <t>2010.</t>
  </si>
  <si>
    <t>2009</t>
  </si>
  <si>
    <t>prihodi od šteta</t>
  </si>
  <si>
    <t>PROSJEČAN BR. ZAPOSLENIH</t>
  </si>
  <si>
    <t>materijalna prava regulirana pravilnikom o plaćama), premije osiguranja ,</t>
  </si>
  <si>
    <t>Prihod od naplate parkiranja</t>
  </si>
  <si>
    <t>prvotno  imali status odgođenog prihoda ili se radi o namjenskim sredstvima za troškove tekuće godine.</t>
  </si>
  <si>
    <t xml:space="preserve">U trošku plaće radnika planirane su  isplate, sa svim zakonom propisanim  </t>
  </si>
  <si>
    <t>obvezama, a koje su vezane uz nesamostalni rad:doprinosi iz i na plaću.</t>
  </si>
  <si>
    <t>pogrebne opreme i  kanti za  potrebe građanstva .</t>
  </si>
  <si>
    <t>Prihod od uređenja i održavanja javnih površina</t>
  </si>
  <si>
    <t>Prihod od sakupljanja i odlaganja komunalnog otpada</t>
  </si>
  <si>
    <t>Prihod od sakupljanja i odlaganja kom.otpada</t>
  </si>
  <si>
    <t>Prihodi od prodaje ostalih prethodno nespomenutih usluga</t>
  </si>
  <si>
    <t>Planirani su prihodi od zateznih kamata  obračunatih na zakašnjela plaćanja .</t>
  </si>
  <si>
    <t>Financijski rashodi</t>
  </si>
  <si>
    <t>str.24.</t>
  </si>
  <si>
    <t xml:space="preserve"> REKAPITULACIJA </t>
  </si>
  <si>
    <t xml:space="preserve"> PRIHODI - ODVOZ KOMUNALNOG OTPADA</t>
  </si>
  <si>
    <t xml:space="preserve"> POSLOVNE JEDINICE - PRIHODI</t>
  </si>
  <si>
    <t xml:space="preserve"> POSLOVNE JEDINICE - RASHODI</t>
  </si>
  <si>
    <t xml:space="preserve"> POSLOVNE JEDINICE - PRIHODI - ANALITIKA</t>
  </si>
  <si>
    <t xml:space="preserve"> POSLOVNE JEDINICE - RASHODI - ANALITIKA</t>
  </si>
  <si>
    <t>POSLOVNE JEDINICE - RASHODI - ANALITIKA</t>
  </si>
  <si>
    <t>2011.</t>
  </si>
  <si>
    <t>DOBITAK/GUBITAK (kn):</t>
  </si>
  <si>
    <t>Groblja-Općina Vinodolska-općina</t>
  </si>
  <si>
    <t>2.5.</t>
  </si>
  <si>
    <t>Prihod od selektiranog otpada</t>
  </si>
  <si>
    <t>Prihod od prodaje robe</t>
  </si>
  <si>
    <t>(posude za komunalni otpad)</t>
  </si>
  <si>
    <t>Financijski prihodi-kamate</t>
  </si>
  <si>
    <t>Ostali poslovni  prihodi</t>
  </si>
  <si>
    <t>Prihod od zbrinjavanja komunalnog otpada</t>
  </si>
  <si>
    <t>Prihod od prodaje roba</t>
  </si>
  <si>
    <t xml:space="preserve">Prihod od najma tržnih mjesta </t>
  </si>
  <si>
    <t>Financujski prihod-kamate</t>
  </si>
  <si>
    <t xml:space="preserve">Komunalno trgovačko društvo IVANJ d.o.o. </t>
  </si>
  <si>
    <t>OIB 97741129364</t>
  </si>
  <si>
    <t>Trg Ivana Mažuranića 1,Novi Vinodolski</t>
  </si>
  <si>
    <t>gospodarstvo</t>
  </si>
  <si>
    <t>građanstvo</t>
  </si>
  <si>
    <t>Grad Novi</t>
  </si>
  <si>
    <t xml:space="preserve">Prihod od naknade za zbrinjavanje komunalnog otpad planiran je prema ugovorenim veličinama iz  III </t>
  </si>
  <si>
    <t>Naknada od korištenja grobnih mjesta planirana je na temelju ostvarenih prihoda protekle godine,</t>
  </si>
  <si>
    <t>Planirani prihod od uređenja i održavanja javnih površina</t>
  </si>
  <si>
    <t>str.1.</t>
  </si>
  <si>
    <t>str.2.</t>
  </si>
  <si>
    <t>str.4.</t>
  </si>
  <si>
    <t>str.5.</t>
  </si>
  <si>
    <t>str.6.</t>
  </si>
  <si>
    <t>str.11.</t>
  </si>
  <si>
    <t>str.10.</t>
  </si>
  <si>
    <t>str.12.</t>
  </si>
  <si>
    <t>str.13.</t>
  </si>
  <si>
    <t>str.14.</t>
  </si>
  <si>
    <t>str.15.</t>
  </si>
  <si>
    <t>str.16.</t>
  </si>
  <si>
    <t>obveze odlaganja komunalnog otpada u posude namjenjene za komunalni otpad.</t>
  </si>
  <si>
    <t xml:space="preserve">ne možemo obaviti sami zbog nedostatka opreme : zemljani radovi na zelenim  </t>
  </si>
  <si>
    <t>2012.</t>
  </si>
  <si>
    <t>PJ  ČISTOĆA</t>
  </si>
  <si>
    <t>+</t>
  </si>
  <si>
    <t>Vinodolska općina</t>
  </si>
  <si>
    <t>Uređenje Parka I. Mažuranića</t>
  </si>
  <si>
    <t>Održavanje pomorskog dobra</t>
  </si>
  <si>
    <t>Grad Novi, Vinodolska općina, vanjski</t>
  </si>
  <si>
    <t>Prihod od održavanja grobalja i pogrebne usluge</t>
  </si>
  <si>
    <t>Uređenje zelene površina</t>
  </si>
  <si>
    <t>Prihod od ostalih usluga "Parkovi i Javne površine"</t>
  </si>
  <si>
    <t>str.3.</t>
  </si>
  <si>
    <t>Prema podacima kojima raspolažemo, plan prihoda od usluga građanstvu sa područja Grada Novog</t>
  </si>
  <si>
    <t>Čistoća</t>
  </si>
  <si>
    <t>Prihod od najma tržnih mjesta</t>
  </si>
  <si>
    <t>Zamjenik direktora</t>
  </si>
  <si>
    <t>2013.</t>
  </si>
  <si>
    <t>prenosi se iz  2012</t>
  </si>
  <si>
    <t>Zoran Djak, dipl.oecc.</t>
  </si>
  <si>
    <t xml:space="preserve">Prihod čine planirani prihodi od deponije komunalnog otpada, građevinskog otpada i  prihod </t>
  </si>
  <si>
    <t>Osim toga poradit će se još više na praćenju podataka,odnosno stanja na terenu te kontrola poštivanja</t>
  </si>
  <si>
    <t xml:space="preserve">Prihod obuhvaća naknadu od korištenja grobnih mjesta na grobljima Grada Novog Vinodolskog i Vinodolske </t>
  </si>
  <si>
    <t xml:space="preserve">općine, pogrebne usluge na području Grada Novog i Vinodolske općine. </t>
  </si>
  <si>
    <t>Za radno mjesto koeficijenta složenosti 1, plaća je planirana 2.547,00 kuna bruto,</t>
  </si>
  <si>
    <t>U odnosu na prošlu godinu trošak je planiran u jednakom iznosu.</t>
  </si>
  <si>
    <t xml:space="preserve">Vinodolsog je rađen na bazi  5.000 korisnika sa fiksnim dijelom prihoda od 2.450.000,00 kn i </t>
  </si>
  <si>
    <t>2014.</t>
  </si>
  <si>
    <t xml:space="preserve">Prihod od sakupljanja i odlaganja komunalnog otpada i dalje je najzastupljeniji prihod i njegovo </t>
  </si>
  <si>
    <t>Nove zelene površine</t>
  </si>
  <si>
    <t xml:space="preserve">površinama, ali i usluge čuvanja, imovine, deratizacija i dezinsekcija, </t>
  </si>
  <si>
    <t>Trg Vinodolskog zakona 5,Novi Vinodolski</t>
  </si>
  <si>
    <t>00 385 51 / 445 550</t>
  </si>
  <si>
    <t>00 385 51 / 445 551</t>
  </si>
  <si>
    <t>2015.</t>
  </si>
  <si>
    <t>400000 Izravni troškovi sirovina</t>
  </si>
  <si>
    <t>400100 Direktni materijal</t>
  </si>
  <si>
    <t>400200 Mazivo</t>
  </si>
  <si>
    <t>400700 Ostali komunalni troškovi voda</t>
  </si>
  <si>
    <t>401000 Materijal za čiščenje i održavanj</t>
  </si>
  <si>
    <t>401010 Materijal za održavanje osobnog v</t>
  </si>
  <si>
    <t>401010 Mate.za održ. osobnog vozila 30%</t>
  </si>
  <si>
    <t>401900 Ostali materijalni troškovi</t>
  </si>
  <si>
    <t>402000 Uredski materijal</t>
  </si>
  <si>
    <t>404000 Trošak sitnog inventara i autogum</t>
  </si>
  <si>
    <t>405100 UTROŠ.REZ.DIJELOVI ZA TEK.ODR.</t>
  </si>
  <si>
    <t>405101 Rezervni djelovi osob. vozilo-70%</t>
  </si>
  <si>
    <t>405102 Rezervni djelovi osob. vozilo-30%</t>
  </si>
  <si>
    <t>406000 ELEKTRIČNA ENERGIJA</t>
  </si>
  <si>
    <t>406300 MOTORNI BENZIN</t>
  </si>
  <si>
    <t>406400 DIZELSKO GORIVO</t>
  </si>
  <si>
    <t>407400 Trošak goriva- 70% porezno prizna</t>
  </si>
  <si>
    <t>407500 Trošak goriva- 30% porezno nepriz</t>
  </si>
  <si>
    <t>400600 Pomoćni materijal</t>
  </si>
  <si>
    <t>410500 USLUGE PTT.POST.MARKE PISMA TELEF</t>
  </si>
  <si>
    <t>410510 TROŠKOVI TELEFONA,INTERNETA</t>
  </si>
  <si>
    <t>411400 GRAFIČKE USLUGE TISKA I UVEZA</t>
  </si>
  <si>
    <t>412000 USLUGE TEKUĆEG ODRŽAVANJA</t>
  </si>
  <si>
    <t>412010 Usluge održavanja osobnog automobi 70 %</t>
  </si>
  <si>
    <t>412020 Usluge održ osobnog automob 30%</t>
  </si>
  <si>
    <t>412100 NABAVLJENE USL.INVESTIC.ODRŽ</t>
  </si>
  <si>
    <t>412500 Servis osobnih vozila - 70% porez</t>
  </si>
  <si>
    <t>412600 Servis osobnih vozila - 30 % pore</t>
  </si>
  <si>
    <t>412800 USLUG. ZAŠTITARA NA ČUV.IMOV.I OS</t>
  </si>
  <si>
    <t>413700 Troškovi naknada za ceste, takse</t>
  </si>
  <si>
    <t>414000 ZAKUPNINE-NAJAMNINE</t>
  </si>
  <si>
    <t>414100 operativni leasing -osobnavozila</t>
  </si>
  <si>
    <t>414200 operativni leasing- osobnavozila</t>
  </si>
  <si>
    <t>415000 USLUGE REKLAME I PROPAGANDE</t>
  </si>
  <si>
    <t>416100 RAD PO UGOVORU</t>
  </si>
  <si>
    <t>416600 REVIZORSKE USLUGE</t>
  </si>
  <si>
    <t>416700 Odvjetničke, bilježničke i usluge</t>
  </si>
  <si>
    <t>416900 OSTALE NESPOMENUTE INTELEKTUAL.US</t>
  </si>
  <si>
    <t>417600 DERATIZACIJA I DEZINFEKCIJSKEUSLU</t>
  </si>
  <si>
    <t>417900 KOMUNALNI TROŠKOVI-KOM.NAKNADA</t>
  </si>
  <si>
    <t>419000 PREVENTIVNI TEHNICKI PREGLED</t>
  </si>
  <si>
    <t>419010 SERVIS VOZILA</t>
  </si>
  <si>
    <t>419100 TROSKOVI ZAŠTITE OKOLIŠA</t>
  </si>
  <si>
    <t>419200 KORIŠ.USL.DRUGIH RADI PRUŽ.USLUGA</t>
  </si>
  <si>
    <t>419300 USLUGE STUDENTSKOG I UČENIČKOG SE</t>
  </si>
  <si>
    <t>419500 TROšKOVI OGLASA</t>
  </si>
  <si>
    <t>419800 TROŠAK REGISTRACIJE VOZILA</t>
  </si>
  <si>
    <t>419810 Trošak registracije osob. vozila-</t>
  </si>
  <si>
    <t>419820 Trošak registracije osobnog vozil</t>
  </si>
  <si>
    <t>419900 ostale vanjske usluge-usluge vatr</t>
  </si>
  <si>
    <t>419901 Ostale nespomenute vanjske usluge</t>
  </si>
  <si>
    <t>420000 NETO PLAĆE</t>
  </si>
  <si>
    <t>425000 TROŠKOVI PRIREZA I POREZA IZ PLAĆ</t>
  </si>
  <si>
    <t>425100 TROŠKOVI PRIREZA</t>
  </si>
  <si>
    <t>426000 DOPRINOS ZA MIO IZ PLAĆA</t>
  </si>
  <si>
    <t>426001 DOPR.ZA MIO IZ PLAĆE-NADZORNIODBO</t>
  </si>
  <si>
    <t xml:space="preserve">426300 DOPRINOS ZA MIO NA PLAĆE </t>
  </si>
  <si>
    <t>427030 DOPRINOS ZA ZDRAV.OSIG.NA PLAĆE</t>
  </si>
  <si>
    <t>427031 Doprinos za zdravstveno na plaću-</t>
  </si>
  <si>
    <t>427120 DOPR.ZA ZAPOŠLJAVANJE NA PLAĆU</t>
  </si>
  <si>
    <t>427121 POSEB.DOPR.ZA ZAPOŠLJAV.NA PLAĆU</t>
  </si>
  <si>
    <t>427130 DOPR.ZA SLUČAJ NESR.NA RADU</t>
  </si>
  <si>
    <t>460000 DNEVNICE ZA SL.PUTOV.U HRVATSKOJ</t>
  </si>
  <si>
    <t>460100 DNEVN.YA SLUZ.PUT.U INOZEMSTVO</t>
  </si>
  <si>
    <t>460400 OSTALI TROŠKOVI NA SLUŽBENOM PUTU</t>
  </si>
  <si>
    <t>461000 NADOKNADE TROŠ.PRIJEVOZA NA POSAO</t>
  </si>
  <si>
    <t>461600 POTPORA ZBOG BOLESTI, SMRTI,ELEME</t>
  </si>
  <si>
    <t>461800 JUBILARNE NAGRADE</t>
  </si>
  <si>
    <t>462000 NAKNADA ČLANOVIMA NADZ.ODBORA</t>
  </si>
  <si>
    <t>464000 PREMIJE OSIGURANJA STALNE IMOVINE</t>
  </si>
  <si>
    <t>464100 PREMIJE OBV.OSIGURANJA I BOLOVANJ</t>
  </si>
  <si>
    <t>464200 PREMIJE OSIGURANJA VOZILA</t>
  </si>
  <si>
    <t>465000 BANKOVNE USLUGE</t>
  </si>
  <si>
    <t>465100 NADOKNADE FINI ZA TROŠ.PLATNOG PR</t>
  </si>
  <si>
    <t>466700 ČLANARINE</t>
  </si>
  <si>
    <t>467000 POREZ NA TVRTKU ODNOSNO NAZIV</t>
  </si>
  <si>
    <t>467100 POREZ NA MOTORNA VOZILA I PL.OBJ.</t>
  </si>
  <si>
    <t>467600 Trošak poreza koji je Ugovornopre</t>
  </si>
  <si>
    <t>468200 IZDACI I DAVANJA ZA MILODARE,DARO</t>
  </si>
  <si>
    <t>468400 TROŠAK HRT PRETPLATE</t>
  </si>
  <si>
    <t>469000 TROŠKOVI STRUČNOG OBRAZOVANJA</t>
  </si>
  <si>
    <t>469100 TROŠKOVI ZA PRIRUČNIKE,ČASOPISE I</t>
  </si>
  <si>
    <t>469500 SUDSKI TROŠKOVI</t>
  </si>
  <si>
    <t>469600 TROŠKOVI ZDRAVSTVENOG NADZORA</t>
  </si>
  <si>
    <t>471200 OSTALE ZATEZNE KAMATE</t>
  </si>
  <si>
    <t>473700 KAMATE NA KREDITE BANAKA</t>
  </si>
  <si>
    <t>474000 ZATEZNE KAMATE IZ TRGOVAČKIH UGOV</t>
  </si>
  <si>
    <t>477000 Troškovi diskonta pri prodajipotr</t>
  </si>
  <si>
    <t>479900 Ostali nespomenuti financi rashod</t>
  </si>
  <si>
    <t>481100 OTPISI NENAPL.POTR.OD KUP.VRIJ,NE</t>
  </si>
  <si>
    <t>484400 NADOKNADA ŠTETE DRUGIM DRUŠTVIMA</t>
  </si>
  <si>
    <t>484900 Ostali manjkovi iz parkirašnog automata</t>
  </si>
  <si>
    <t>485000 NAKN.UTVR.TROŠ.-RAČ.IZ PRETH.GODI</t>
  </si>
  <si>
    <t>710000 Nabav vrijed prodan robe pogrebna</t>
  </si>
  <si>
    <t>710010 Nabav vrijedn prodan robe posude</t>
  </si>
  <si>
    <t>PJ  PARKING</t>
  </si>
  <si>
    <t>461900 Primanja u naravi ili novcu</t>
  </si>
  <si>
    <t>466200 Naknada za šume</t>
  </si>
  <si>
    <t>466800 Doprinoz za vodoprivredu</t>
  </si>
  <si>
    <t>466300 Doprinos TZ</t>
  </si>
  <si>
    <t>417600 DERATIZACIJA I DEZINFEKCIJSKE USLU</t>
  </si>
  <si>
    <t>ZJ ZAJEDNIČKE SLUŽBE</t>
  </si>
  <si>
    <t>DOBITAK/GUBITAK</t>
  </si>
  <si>
    <t>RASHODI ANALITIKA</t>
  </si>
  <si>
    <t>Uplate DPK</t>
  </si>
  <si>
    <t>Deblokada kotača</t>
  </si>
  <si>
    <t>Parkirni automati</t>
  </si>
  <si>
    <t>Povlaštene parkirne karte</t>
  </si>
  <si>
    <t>M-naplata</t>
  </si>
  <si>
    <t>Parkiralište Centar škola</t>
  </si>
  <si>
    <t>Parkiralište Lukavice</t>
  </si>
  <si>
    <t>SVEUKUPNO PARKING</t>
  </si>
  <si>
    <t>Parkiralište Bribirska obala</t>
  </si>
  <si>
    <t>1-9</t>
  </si>
  <si>
    <t>Na području Grada Novog Vinodolskog posudama je opskrbljena većina stanovništva.</t>
  </si>
  <si>
    <t xml:space="preserve">varijabilnim prihodom od 450.000,00 kuna godišnje.Prihod od usluga građanstvu sa područja Općine </t>
  </si>
  <si>
    <t>Ledenice, Novi Vinodoski,Povile,Sibinj i Zagon), kao i za groblja  cjele Vinodolske općine.</t>
  </si>
  <si>
    <t>od 2050 grobnog mjesta smještenih u  9 grobalja (Klenovica, Krmpote-novo, Krmpote-staro, Krmpote-Luka,</t>
  </si>
  <si>
    <t xml:space="preserve">Planiran je zanemariv prihod u visini od 1.000,00 kuna, prihod od usluge dostave specijalnim </t>
  </si>
  <si>
    <t>dostavnim vozilom.</t>
  </si>
  <si>
    <t>U financijskim troškovima planirane su kamate po postojećem kratkoročnom</t>
  </si>
  <si>
    <t>str.7.</t>
  </si>
  <si>
    <t>str.8.</t>
  </si>
  <si>
    <t>str.9.</t>
  </si>
  <si>
    <t>str.17.</t>
  </si>
  <si>
    <t>str.18.</t>
  </si>
  <si>
    <t>str.21.</t>
  </si>
  <si>
    <t>str.22.</t>
  </si>
  <si>
    <t>str.23.</t>
  </si>
  <si>
    <t>str.25.</t>
  </si>
  <si>
    <t>str.26.</t>
  </si>
  <si>
    <t>str.27.</t>
  </si>
  <si>
    <t>str.28.</t>
  </si>
  <si>
    <t>str.29.</t>
  </si>
  <si>
    <t xml:space="preserve">prava radnika(otpremnine, prijevoz na posao i s posla, dnevnice, pokloni djeci,    </t>
  </si>
  <si>
    <t xml:space="preserve">upotreba privatnog automobila u službene svrhe, solidarne pomoći i sva druga   </t>
  </si>
  <si>
    <t>Parking</t>
  </si>
  <si>
    <t>str.19.</t>
  </si>
  <si>
    <t>str. 20</t>
  </si>
  <si>
    <t>str.30.</t>
  </si>
  <si>
    <t>Novi Vinodoski, siječanj 2016.</t>
  </si>
  <si>
    <t>2016.</t>
  </si>
  <si>
    <t>Iznos 2016.</t>
  </si>
  <si>
    <t>Plan 2016.</t>
  </si>
  <si>
    <t>polupodzemnih spremnika.</t>
  </si>
  <si>
    <t>prema volumenu.</t>
  </si>
  <si>
    <t>Prihod od poslovanja svih djelatnosti planira se prema prihodima i rashodima protekle 2015. godine.</t>
  </si>
  <si>
    <t>Sukladno rastu količina prikupljenog selektiranog otpada očekuje se prihod od te stavke za 10 %.</t>
  </si>
  <si>
    <t xml:space="preserve">Prihod od uređenja i održavanja javnih površina, kao i održavanja pomorskog dobra planira se </t>
  </si>
  <si>
    <t>Unutar ostalih poslovnih prihoda su u najvećem iznosu planirani  prihodi  od dotacija koji bi</t>
  </si>
  <si>
    <t>404010 Zaštitna odjeća</t>
  </si>
  <si>
    <t>trošak zaštite okoliša, odvjetnički, javno bilježnički troškovi i itd.</t>
  </si>
  <si>
    <t xml:space="preserve"> FINANCIJSKI PLAN ZA 2017. GODINU</t>
  </si>
  <si>
    <t>Planirani prihod u 2017. godini :</t>
  </si>
  <si>
    <t>Planirani rashod u 2017. godini :</t>
  </si>
  <si>
    <t>Planirana dobit u 2017. godini :</t>
  </si>
  <si>
    <t>Novi Vinodoski, siječanj 2017.</t>
  </si>
  <si>
    <t xml:space="preserve"> (Mikulja i Sveti Anton-kod Domijana)</t>
  </si>
  <si>
    <t>Plan 2017.</t>
  </si>
  <si>
    <t>3.8. FINANCIJSKI PLAN ZA 2017. GODINU</t>
  </si>
  <si>
    <t>2017.</t>
  </si>
  <si>
    <t>Grafički prikaz  planiranog prihoda u razdoblju 2009.-2017. godina</t>
  </si>
  <si>
    <t xml:space="preserve">Parkiralište Luka </t>
  </si>
  <si>
    <t>418100 Reprezentacija - 50% porezno priz</t>
  </si>
  <si>
    <t>418200 Reprezentacija - 50% porezno nepr</t>
  </si>
  <si>
    <t xml:space="preserve"> REKAPITULACIJA PRIHODA 2017.</t>
  </si>
  <si>
    <t>400050 Trošak odlaganja otpada Marišćina</t>
  </si>
  <si>
    <t>5  novo zaposlenih</t>
  </si>
  <si>
    <t>novi kamion + pretovarna</t>
  </si>
  <si>
    <t>Murvica - Eko plus</t>
  </si>
  <si>
    <t>Eko plus</t>
  </si>
  <si>
    <t>Iznos 2017.</t>
  </si>
  <si>
    <t xml:space="preserve">Tijekom 2017. godine u širem centru grada Novog Vinodolskog  planira se postavljanje novih </t>
  </si>
  <si>
    <t>od selektiranog otpada, prihod od pretovarne stanice.</t>
  </si>
  <si>
    <t>Od usluge deponiranja građevinskog materijala planiran je prihod jednakom kao i u 2016. godini.</t>
  </si>
  <si>
    <t xml:space="preserve">U 2017. godini planira se proširit parking u Luci  (bivša šumarijska garaža ), </t>
  </si>
  <si>
    <t>na kojem se očekuje prihod u iznosu od 100.000,00 kn</t>
  </si>
  <si>
    <t>da će se ostvariti na nivou 2016. godine.</t>
  </si>
  <si>
    <t>Odlukom Grada Novog Vinodolskog od dana 23.05.2016. ukinuta je naplata tržnih mjesta.</t>
  </si>
  <si>
    <t xml:space="preserve">U 2017. gdini se planira uvesti u Vinodolskoj općini obračun i naplata skupljanja i odvoza otpada </t>
  </si>
  <si>
    <t xml:space="preserve">Krajem  2016. godine izgrađena je pretovarna stanica na Duplji. Tijekom 2017. godine očekuje se </t>
  </si>
  <si>
    <t xml:space="preserve"> miješani komunalni  otpad, te će  tada doći do značajnih promjena u poslovanju Ivanja.</t>
  </si>
  <si>
    <t>u  puštanje u pogon Županijskog odlagališta otpada Mariščina na  koji će se odvoziti</t>
  </si>
  <si>
    <t>FINANCIJSKI PLAN ZA 2017. GODINU</t>
  </si>
  <si>
    <t xml:space="preserve"> REKAPITULACIJA RASHODA 2017.</t>
  </si>
  <si>
    <t>2017/2016</t>
  </si>
  <si>
    <t>STRUKTURA RASHODA 2017. GODINE</t>
  </si>
  <si>
    <t>Plan je rađen na bazi prosječno zaposlenih 59 radnika.</t>
  </si>
  <si>
    <t>Bruto plaće su planirane u istim iznosima, kao i 2016. godine.</t>
  </si>
  <si>
    <t>Amortizacija je planirana  u većem iznosu  u odnosu na prethodnu godinu (5%).</t>
  </si>
  <si>
    <t xml:space="preserve">Krajem 2016. godine  izgrađena je  pretovarna stanica,  koja će se aktivirati </t>
  </si>
  <si>
    <t>tek po otvaranju regionalnog centra Marišćina.</t>
  </si>
  <si>
    <t>kreditu koja je podignuta koncem 2016. godine, kao i ostale zatezne kamate.</t>
  </si>
  <si>
    <t>PRIHOD OD TRŽNICE</t>
  </si>
  <si>
    <t>Aneks-a, uvećan za prihod od pretovarne stanice ( planirano je odlaganje na Marišćini 6.000 tona otpada).</t>
  </si>
  <si>
    <t>(6000 tona otpada x 470,00 kn za jednu tonu)</t>
  </si>
  <si>
    <t xml:space="preserve">učešće je 34,04 % u ukupnim prihodima. </t>
  </si>
  <si>
    <t>Prihod od zbrinjavanja  komunalnog otpada čini 30,71 % ukupno planiranih prihoda.</t>
  </si>
  <si>
    <t xml:space="preserve">Tijekom 2016. godine izgrađeno je 12 grobnica  u Donjem Zagonu  i 12 grobnica u Povilama, </t>
  </si>
  <si>
    <t>koji se stavljaju u prodaju.</t>
  </si>
  <si>
    <t>Premije dodatnog zdravstvenog osiguranja</t>
  </si>
  <si>
    <t xml:space="preserve">464110 OBV.ZDRAV. I DOPUN.OSIGURANJA </t>
  </si>
  <si>
    <t xml:space="preserve">Sirovine i materijal čine 28,32 % ukupnih rashoda. Najveći udio u trošku ima </t>
  </si>
  <si>
    <t>trošak dizelskog goriva (5,29 %) i trošak odlaganja otpada Marišćina (16,22 %).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</si>
</sst>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00"/>
    <numFmt numFmtId="182" formatCode="0.0000"/>
    <numFmt numFmtId="183" formatCode="0.000"/>
    <numFmt numFmtId="184" formatCode="0.0"/>
    <numFmt numFmtId="185" formatCode="0.0000000"/>
    <numFmt numFmtId="186" formatCode="#,##0.000"/>
    <numFmt numFmtId="187" formatCode="#,##0.0000"/>
    <numFmt numFmtId="188" formatCode="[$-41A]d\.\ mmmm\ yyyy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e&quot;"/>
    <numFmt numFmtId="194" formatCode="&quot;Istina&quot;;&quot;Istina&quot;;&quot;Laž&quot;"/>
    <numFmt numFmtId="195" formatCode="&quot;Uključeno&quot;;&quot;Uključeno&quot;;&quot;Isključeno&quot;"/>
    <numFmt numFmtId="196" formatCode="[$€-2]\ #,##0.00_);[Red]\([$€-2]\ #,##0.00\)"/>
    <numFmt numFmtId="197" formatCode="&quot;Istinito&quot;;&quot;Istinito&quot;;&quot;Neistinito&quot;"/>
  </numFmts>
  <fonts count="8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2.5"/>
      <name val="Webdings"/>
      <family val="1"/>
    </font>
    <font>
      <b/>
      <sz val="12"/>
      <name val="Courier New"/>
      <family val="3"/>
    </font>
    <font>
      <sz val="10"/>
      <name val="Courier"/>
      <family val="1"/>
    </font>
    <font>
      <b/>
      <sz val="10"/>
      <name val="Courier"/>
      <family val="1"/>
    </font>
    <font>
      <b/>
      <sz val="12"/>
      <name val="Courier"/>
      <family val="1"/>
    </font>
    <font>
      <sz val="11"/>
      <name val="Courier"/>
      <family val="1"/>
    </font>
    <font>
      <b/>
      <sz val="11"/>
      <name val="Courier"/>
      <family val="1"/>
    </font>
    <font>
      <sz val="12"/>
      <name val="Courier"/>
      <family val="1"/>
    </font>
    <font>
      <sz val="11"/>
      <name val="Courier New"/>
      <family val="3"/>
    </font>
    <font>
      <sz val="8"/>
      <name val="Courier New"/>
      <family val="3"/>
    </font>
    <font>
      <sz val="10"/>
      <color indexed="9"/>
      <name val="Courier New"/>
      <family val="3"/>
    </font>
    <font>
      <i/>
      <sz val="10"/>
      <name val="Courier New"/>
      <family val="3"/>
    </font>
    <font>
      <b/>
      <i/>
      <sz val="11"/>
      <name val="Courier New"/>
      <family val="3"/>
    </font>
    <font>
      <b/>
      <sz val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Courier New"/>
      <family val="3"/>
    </font>
    <font>
      <b/>
      <i/>
      <sz val="12"/>
      <name val="Courier New"/>
      <family val="3"/>
    </font>
    <font>
      <b/>
      <sz val="14"/>
      <name val="Courier New"/>
      <family val="3"/>
    </font>
    <font>
      <sz val="8"/>
      <name val="Courier"/>
      <family val="1"/>
    </font>
    <font>
      <sz val="8"/>
      <name val="Wingdings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indexed="10"/>
      <name val="Courier New"/>
      <family val="3"/>
    </font>
    <font>
      <sz val="8"/>
      <color indexed="8"/>
      <name val="Courier New"/>
      <family val="3"/>
    </font>
    <font>
      <sz val="7"/>
      <name val="Courier New"/>
      <family val="3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1.25"/>
      <color indexed="8"/>
      <name val="Arial"/>
      <family val="2"/>
    </font>
    <font>
      <sz val="1.15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0" fillId="19" borderId="1" applyNumberFormat="0" applyFont="0" applyAlignment="0" applyProtection="0"/>
    <xf numFmtId="0" fontId="7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1" fillId="27" borderId="2" applyNumberFormat="0" applyAlignment="0" applyProtection="0"/>
    <xf numFmtId="0" fontId="72" fillId="27" borderId="3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3" fillId="32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49" fontId="0" fillId="0" borderId="0" xfId="35" applyNumberFormat="1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5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right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9" fontId="16" fillId="0" borderId="0" xfId="0" applyNumberFormat="1" applyFont="1" applyAlignment="1">
      <alignment horizontal="center"/>
    </xf>
    <xf numFmtId="0" fontId="17" fillId="0" borderId="0" xfId="35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2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 applyAlignment="1">
      <alignment horizontal="left"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49" fontId="12" fillId="0" borderId="0" xfId="35" applyNumberFormat="1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3" fillId="36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2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" fontId="12" fillId="0" borderId="15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0" fontId="13" fillId="0" borderId="15" xfId="0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7" fillId="0" borderId="0" xfId="35" applyFont="1" applyAlignment="1" applyProtection="1">
      <alignment horizontal="center"/>
      <protection/>
    </xf>
    <xf numFmtId="0" fontId="27" fillId="0" borderId="0" xfId="35" applyFont="1" applyAlignment="1" applyProtection="1">
      <alignment horizontal="center"/>
      <protection/>
    </xf>
    <xf numFmtId="0" fontId="20" fillId="0" borderId="0" xfId="0" applyFont="1" applyFill="1" applyAlignment="1">
      <alignment/>
    </xf>
    <xf numFmtId="4" fontId="12" fillId="0" borderId="18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9" fontId="12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9" xfId="0" applyFont="1" applyFill="1" applyBorder="1" applyAlignment="1">
      <alignment horizontal="center"/>
    </xf>
    <xf numFmtId="4" fontId="13" fillId="35" borderId="0" xfId="0" applyNumberFormat="1" applyFont="1" applyFill="1" applyAlignment="1">
      <alignment horizontal="right"/>
    </xf>
    <xf numFmtId="4" fontId="13" fillId="35" borderId="0" xfId="0" applyNumberFormat="1" applyFont="1" applyFill="1" applyAlignment="1">
      <alignment horizontal="left"/>
    </xf>
    <xf numFmtId="4" fontId="13" fillId="34" borderId="0" xfId="0" applyNumberFormat="1" applyFont="1" applyFill="1" applyAlignment="1">
      <alignment horizontal="right"/>
    </xf>
    <xf numFmtId="4" fontId="13" fillId="34" borderId="0" xfId="0" applyNumberFormat="1" applyFont="1" applyFill="1" applyAlignment="1">
      <alignment horizontal="left"/>
    </xf>
    <xf numFmtId="4" fontId="13" fillId="18" borderId="0" xfId="0" applyNumberFormat="1" applyFont="1" applyFill="1" applyAlignment="1">
      <alignment horizontal="right"/>
    </xf>
    <xf numFmtId="4" fontId="13" fillId="18" borderId="0" xfId="0" applyNumberFormat="1" applyFont="1" applyFill="1" applyAlignment="1">
      <alignment horizontal="left"/>
    </xf>
    <xf numFmtId="4" fontId="13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28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18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0" fillId="0" borderId="0" xfId="35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1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13" fillId="0" borderId="16" xfId="0" applyNumberFormat="1" applyFont="1" applyBorder="1" applyAlignment="1">
      <alignment/>
    </xf>
    <xf numFmtId="0" fontId="12" fillId="18" borderId="0" xfId="0" applyFont="1" applyFill="1" applyAlignment="1">
      <alignment/>
    </xf>
    <xf numFmtId="0" fontId="13" fillId="0" borderId="17" xfId="0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0" borderId="17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0" fontId="13" fillId="0" borderId="18" xfId="0" applyFont="1" applyBorder="1" applyAlignment="1">
      <alignment/>
    </xf>
    <xf numFmtId="4" fontId="23" fillId="0" borderId="0" xfId="0" applyNumberFormat="1" applyFont="1" applyAlignment="1">
      <alignment horizontal="center"/>
    </xf>
    <xf numFmtId="4" fontId="13" fillId="0" borderId="14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2" fillId="35" borderId="0" xfId="0" applyFont="1" applyFill="1" applyAlignment="1">
      <alignment/>
    </xf>
    <xf numFmtId="0" fontId="13" fillId="18" borderId="0" xfId="0" applyFont="1" applyFill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" fontId="12" fillId="0" borderId="25" xfId="0" applyNumberFormat="1" applyFont="1" applyFill="1" applyBorder="1" applyAlignment="1">
      <alignment/>
    </xf>
    <xf numFmtId="0" fontId="23" fillId="0" borderId="26" xfId="0" applyFont="1" applyBorder="1" applyAlignment="1">
      <alignment horizontal="center"/>
    </xf>
    <xf numFmtId="4" fontId="13" fillId="0" borderId="27" xfId="0" applyNumberFormat="1" applyFont="1" applyFill="1" applyBorder="1" applyAlignment="1">
      <alignment/>
    </xf>
    <xf numFmtId="4" fontId="23" fillId="0" borderId="0" xfId="0" applyNumberFormat="1" applyFont="1" applyFill="1" applyAlignment="1">
      <alignment horizontal="center"/>
    </xf>
    <xf numFmtId="0" fontId="13" fillId="0" borderId="22" xfId="0" applyFont="1" applyBorder="1" applyAlignment="1">
      <alignment horizontal="right"/>
    </xf>
    <xf numFmtId="0" fontId="12" fillId="0" borderId="27" xfId="0" applyFont="1" applyBorder="1" applyAlignment="1">
      <alignment/>
    </xf>
    <xf numFmtId="4" fontId="28" fillId="0" borderId="21" xfId="0" applyNumberFormat="1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2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23" fillId="0" borderId="0" xfId="0" applyNumberFormat="1" applyFont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4" fontId="12" fillId="0" borderId="30" xfId="0" applyNumberFormat="1" applyFont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5" xfId="0" applyFont="1" applyFill="1" applyBorder="1" applyAlignment="1">
      <alignment/>
    </xf>
    <xf numFmtId="0" fontId="13" fillId="5" borderId="0" xfId="0" applyFont="1" applyFill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7" fillId="0" borderId="0" xfId="35" applyNumberFormat="1" applyFont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7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27" xfId="0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/>
    </xf>
    <xf numFmtId="0" fontId="29" fillId="0" borderId="25" xfId="0" applyFont="1" applyBorder="1" applyAlignment="1">
      <alignment/>
    </xf>
    <xf numFmtId="49" fontId="29" fillId="0" borderId="25" xfId="0" applyNumberFormat="1" applyFont="1" applyBorder="1" applyAlignment="1">
      <alignment/>
    </xf>
    <xf numFmtId="49" fontId="29" fillId="0" borderId="25" xfId="0" applyNumberFormat="1" applyFont="1" applyBorder="1" applyAlignment="1">
      <alignment/>
    </xf>
    <xf numFmtId="0" fontId="29" fillId="0" borderId="25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36" xfId="0" applyFont="1" applyBorder="1" applyAlignment="1">
      <alignment horizontal="center"/>
    </xf>
    <xf numFmtId="0" fontId="0" fillId="0" borderId="25" xfId="0" applyBorder="1" applyAlignment="1">
      <alignment/>
    </xf>
    <xf numFmtId="0" fontId="27" fillId="0" borderId="38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49" fontId="16" fillId="0" borderId="27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" fontId="12" fillId="0" borderId="27" xfId="0" applyNumberFormat="1" applyFont="1" applyFill="1" applyBorder="1" applyAlignment="1">
      <alignment/>
    </xf>
    <xf numFmtId="0" fontId="13" fillId="0" borderId="25" xfId="0" applyFont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49" fontId="13" fillId="0" borderId="25" xfId="0" applyNumberFormat="1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3" fillId="0" borderId="33" xfId="0" applyFont="1" applyBorder="1" applyAlignment="1">
      <alignment horizontal="right"/>
    </xf>
    <xf numFmtId="0" fontId="28" fillId="0" borderId="28" xfId="0" applyFont="1" applyFill="1" applyBorder="1" applyAlignment="1">
      <alignment/>
    </xf>
    <xf numFmtId="49" fontId="28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4" fontId="13" fillId="0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4" fontId="28" fillId="0" borderId="2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28" fillId="0" borderId="40" xfId="0" applyNumberFormat="1" applyFont="1" applyFill="1" applyBorder="1" applyAlignment="1">
      <alignment horizontal="center"/>
    </xf>
    <xf numFmtId="0" fontId="12" fillId="36" borderId="0" xfId="0" applyFont="1" applyFill="1" applyAlignment="1">
      <alignment/>
    </xf>
    <xf numFmtId="4" fontId="13" fillId="36" borderId="0" xfId="0" applyNumberFormat="1" applyFont="1" applyFill="1" applyAlignment="1">
      <alignment horizontal="right"/>
    </xf>
    <xf numFmtId="4" fontId="13" fillId="36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/>
    </xf>
    <xf numFmtId="49" fontId="13" fillId="5" borderId="0" xfId="0" applyNumberFormat="1" applyFont="1" applyFill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/>
    </xf>
    <xf numFmtId="4" fontId="28" fillId="0" borderId="35" xfId="0" applyNumberFormat="1" applyFont="1" applyFill="1" applyBorder="1" applyAlignment="1">
      <alignment/>
    </xf>
    <xf numFmtId="0" fontId="13" fillId="0" borderId="27" xfId="0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7" fillId="18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2" fontId="23" fillId="0" borderId="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0" fontId="27" fillId="0" borderId="0" xfId="0" applyFont="1" applyAlignment="1">
      <alignment horizontal="right"/>
    </xf>
    <xf numFmtId="4" fontId="27" fillId="0" borderId="17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4" fontId="27" fillId="0" borderId="10" xfId="0" applyNumberFormat="1" applyFont="1" applyFill="1" applyBorder="1" applyAlignment="1">
      <alignment/>
    </xf>
    <xf numFmtId="4" fontId="27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35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4" fontId="23" fillId="0" borderId="36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4" fontId="23" fillId="0" borderId="25" xfId="0" applyNumberFormat="1" applyFont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27" fillId="0" borderId="36" xfId="0" applyNumberFormat="1" applyFont="1" applyBorder="1" applyAlignment="1">
      <alignment/>
    </xf>
    <xf numFmtId="4" fontId="27" fillId="0" borderId="25" xfId="0" applyNumberFormat="1" applyFont="1" applyBorder="1" applyAlignment="1">
      <alignment/>
    </xf>
    <xf numFmtId="4" fontId="27" fillId="0" borderId="28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28" xfId="0" applyNumberFormat="1" applyFont="1" applyFill="1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49" fontId="4" fillId="0" borderId="0" xfId="35" applyNumberFormat="1" applyFont="1" applyAlignment="1" applyProtection="1">
      <alignment horizontal="left"/>
      <protection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4" fontId="13" fillId="0" borderId="0" xfId="0" applyNumberFormat="1" applyFont="1" applyAlignment="1" quotePrefix="1">
      <alignment horizontal="right"/>
    </xf>
    <xf numFmtId="4" fontId="23" fillId="0" borderId="10" xfId="0" applyNumberFormat="1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37" xfId="0" applyFont="1" applyBorder="1" applyAlignment="1">
      <alignment/>
    </xf>
    <xf numFmtId="2" fontId="28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0" fontId="37" fillId="0" borderId="33" xfId="0" applyFont="1" applyBorder="1" applyAlignment="1">
      <alignment/>
    </xf>
    <xf numFmtId="0" fontId="38" fillId="0" borderId="0" xfId="0" applyFont="1" applyFill="1" applyAlignment="1">
      <alignment/>
    </xf>
    <xf numFmtId="0" fontId="23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" fontId="23" fillId="0" borderId="11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0" fontId="12" fillId="0" borderId="45" xfId="0" applyFont="1" applyBorder="1" applyAlignment="1">
      <alignment/>
    </xf>
    <xf numFmtId="4" fontId="12" fillId="0" borderId="45" xfId="0" applyNumberFormat="1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2" fontId="12" fillId="0" borderId="28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0" fontId="17" fillId="0" borderId="3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4" fontId="13" fillId="0" borderId="35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2" fontId="23" fillId="0" borderId="38" xfId="0" applyNumberFormat="1" applyFont="1" applyBorder="1" applyAlignment="1">
      <alignment/>
    </xf>
    <xf numFmtId="2" fontId="23" fillId="0" borderId="27" xfId="0" applyNumberFormat="1" applyFont="1" applyBorder="1" applyAlignment="1">
      <alignment/>
    </xf>
    <xf numFmtId="2" fontId="23" fillId="0" borderId="14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2" fontId="23" fillId="0" borderId="17" xfId="0" applyNumberFormat="1" applyFont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" fontId="2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2" fillId="0" borderId="33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2" fillId="37" borderId="0" xfId="0" applyFont="1" applyFill="1" applyAlignment="1">
      <alignment horizontal="center"/>
    </xf>
    <xf numFmtId="0" fontId="23" fillId="0" borderId="11" xfId="0" applyFont="1" applyBorder="1" applyAlignment="1">
      <alignment/>
    </xf>
    <xf numFmtId="0" fontId="23" fillId="0" borderId="0" xfId="51" applyFont="1">
      <alignment/>
      <protection/>
    </xf>
    <xf numFmtId="0" fontId="39" fillId="0" borderId="0" xfId="51" applyFont="1">
      <alignment/>
      <protection/>
    </xf>
    <xf numFmtId="0" fontId="23" fillId="0" borderId="0" xfId="0" applyFont="1" applyBorder="1" applyAlignment="1">
      <alignment/>
    </xf>
    <xf numFmtId="4" fontId="27" fillId="0" borderId="14" xfId="0" applyNumberFormat="1" applyFont="1" applyFill="1" applyBorder="1" applyAlignment="1">
      <alignment/>
    </xf>
    <xf numFmtId="4" fontId="23" fillId="0" borderId="28" xfId="0" applyNumberFormat="1" applyFont="1" applyFill="1" applyBorder="1" applyAlignment="1">
      <alignment/>
    </xf>
    <xf numFmtId="4" fontId="23" fillId="0" borderId="25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2" fontId="23" fillId="0" borderId="3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7" fillId="0" borderId="38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" fontId="23" fillId="0" borderId="46" xfId="0" applyNumberFormat="1" applyFont="1" applyFill="1" applyBorder="1" applyAlignment="1">
      <alignment horizontal="center"/>
    </xf>
    <xf numFmtId="0" fontId="27" fillId="37" borderId="0" xfId="0" applyFont="1" applyFill="1" applyAlignment="1">
      <alignment horizontal="center"/>
    </xf>
    <xf numFmtId="4" fontId="23" fillId="0" borderId="33" xfId="0" applyNumberFormat="1" applyFont="1" applyBorder="1" applyAlignment="1">
      <alignment horizontal="center"/>
    </xf>
    <xf numFmtId="4" fontId="27" fillId="0" borderId="11" xfId="0" applyNumberFormat="1" applyFont="1" applyFill="1" applyBorder="1" applyAlignment="1">
      <alignment/>
    </xf>
    <xf numFmtId="4" fontId="23" fillId="0" borderId="37" xfId="0" applyNumberFormat="1" applyFont="1" applyBorder="1" applyAlignment="1">
      <alignment horizontal="center"/>
    </xf>
    <xf numFmtId="4" fontId="23" fillId="0" borderId="38" xfId="0" applyNumberFormat="1" applyFont="1" applyBorder="1" applyAlignment="1">
      <alignment horizontal="center"/>
    </xf>
    <xf numFmtId="4" fontId="23" fillId="0" borderId="2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27" fillId="0" borderId="22" xfId="0" applyNumberFormat="1" applyFont="1" applyFill="1" applyBorder="1" applyAlignment="1">
      <alignment/>
    </xf>
    <xf numFmtId="0" fontId="23" fillId="0" borderId="0" xfId="51" applyFont="1" applyAlignment="1">
      <alignment horizontal="left"/>
      <protection/>
    </xf>
    <xf numFmtId="4" fontId="23" fillId="0" borderId="36" xfId="0" applyNumberFormat="1" applyFont="1" applyBorder="1" applyAlignment="1">
      <alignment/>
    </xf>
    <xf numFmtId="0" fontId="23" fillId="0" borderId="0" xfId="51" applyFont="1" applyFill="1" applyAlignment="1">
      <alignment horizontal="left"/>
      <protection/>
    </xf>
    <xf numFmtId="2" fontId="23" fillId="0" borderId="10" xfId="0" applyNumberFormat="1" applyFont="1" applyFill="1" applyBorder="1" applyAlignment="1">
      <alignment/>
    </xf>
    <xf numFmtId="0" fontId="23" fillId="0" borderId="0" xfId="51" applyFont="1" applyFill="1">
      <alignment/>
      <protection/>
    </xf>
    <xf numFmtId="0" fontId="27" fillId="0" borderId="25" xfId="0" applyFont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" fontId="23" fillId="0" borderId="37" xfId="0" applyNumberFormat="1" applyFont="1" applyFill="1" applyBorder="1" applyAlignment="1">
      <alignment/>
    </xf>
    <xf numFmtId="4" fontId="23" fillId="0" borderId="33" xfId="0" applyNumberFormat="1" applyFont="1" applyFill="1" applyBorder="1" applyAlignment="1">
      <alignment/>
    </xf>
    <xf numFmtId="4" fontId="23" fillId="0" borderId="36" xfId="0" applyNumberFormat="1" applyFont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" fontId="23" fillId="0" borderId="17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28" fillId="0" borderId="17" xfId="0" applyNumberFormat="1" applyFont="1" applyFill="1" applyBorder="1" applyAlignment="1">
      <alignment horizontal="center"/>
    </xf>
    <xf numFmtId="4" fontId="12" fillId="0" borderId="17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4" fontId="28" fillId="0" borderId="22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/>
    </xf>
    <xf numFmtId="4" fontId="12" fillId="0" borderId="48" xfId="0" applyNumberFormat="1" applyFont="1" applyFill="1" applyBorder="1" applyAlignment="1">
      <alignment/>
    </xf>
    <xf numFmtId="4" fontId="13" fillId="0" borderId="35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36" xfId="0" applyNumberFormat="1" applyFont="1" applyFill="1" applyBorder="1" applyAlignment="1">
      <alignment horizontal="center"/>
    </xf>
    <xf numFmtId="4" fontId="13" fillId="0" borderId="25" xfId="0" applyNumberFormat="1" applyFont="1" applyFill="1" applyBorder="1" applyAlignment="1">
      <alignment horizontal="center"/>
    </xf>
    <xf numFmtId="4" fontId="13" fillId="0" borderId="28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2" fillId="0" borderId="12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0" fontId="17" fillId="0" borderId="22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7" fillId="0" borderId="11" xfId="0" applyNumberFormat="1" applyFont="1" applyBorder="1" applyAlignment="1">
      <alignment/>
    </xf>
    <xf numFmtId="2" fontId="13" fillId="0" borderId="25" xfId="0" applyNumberFormat="1" applyFont="1" applyFill="1" applyBorder="1" applyAlignment="1">
      <alignment/>
    </xf>
    <xf numFmtId="0" fontId="17" fillId="0" borderId="38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49" fontId="23" fillId="0" borderId="52" xfId="0" applyNumberFormat="1" applyFont="1" applyBorder="1" applyAlignment="1">
      <alignment horizontal="center"/>
    </xf>
    <xf numFmtId="4" fontId="27" fillId="0" borderId="36" xfId="0" applyNumberFormat="1" applyFont="1" applyFill="1" applyBorder="1" applyAlignment="1">
      <alignment/>
    </xf>
    <xf numFmtId="4" fontId="27" fillId="0" borderId="25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/>
    </xf>
    <xf numFmtId="4" fontId="27" fillId="0" borderId="37" xfId="0" applyNumberFormat="1" applyFont="1" applyFill="1" applyBorder="1" applyAlignment="1">
      <alignment/>
    </xf>
    <xf numFmtId="4" fontId="27" fillId="0" borderId="33" xfId="0" applyNumberFormat="1" applyFont="1" applyFill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23" fillId="0" borderId="22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13" fillId="0" borderId="36" xfId="0" applyNumberFormat="1" applyFont="1" applyFill="1" applyBorder="1" applyAlignment="1">
      <alignment/>
    </xf>
    <xf numFmtId="4" fontId="29" fillId="0" borderId="25" xfId="0" applyNumberFormat="1" applyFont="1" applyFill="1" applyBorder="1" applyAlignment="1">
      <alignment/>
    </xf>
    <xf numFmtId="4" fontId="28" fillId="0" borderId="25" xfId="0" applyNumberFormat="1" applyFont="1" applyFill="1" applyBorder="1" applyAlignment="1">
      <alignment/>
    </xf>
    <xf numFmtId="4" fontId="13" fillId="0" borderId="28" xfId="0" applyNumberFormat="1" applyFont="1" applyFill="1" applyBorder="1" applyAlignment="1">
      <alignment/>
    </xf>
    <xf numFmtId="4" fontId="13" fillId="0" borderId="33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/>
    </xf>
    <xf numFmtId="4" fontId="29" fillId="0" borderId="12" xfId="0" applyNumberFormat="1" applyFont="1" applyFill="1" applyBorder="1" applyAlignment="1">
      <alignment horizontal="center"/>
    </xf>
    <xf numFmtId="4" fontId="27" fillId="0" borderId="33" xfId="0" applyNumberFormat="1" applyFont="1" applyBorder="1" applyAlignment="1">
      <alignment/>
    </xf>
    <xf numFmtId="4" fontId="27" fillId="0" borderId="37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7" xfId="0" applyFont="1" applyBorder="1" applyAlignment="1">
      <alignment/>
    </xf>
    <xf numFmtId="4" fontId="23" fillId="0" borderId="33" xfId="0" applyNumberFormat="1" applyFont="1" applyFill="1" applyBorder="1" applyAlignment="1">
      <alignment horizontal="center"/>
    </xf>
    <xf numFmtId="4" fontId="23" fillId="0" borderId="28" xfId="0" applyNumberFormat="1" applyFont="1" applyBorder="1" applyAlignment="1">
      <alignment/>
    </xf>
    <xf numFmtId="4" fontId="23" fillId="0" borderId="33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center"/>
    </xf>
    <xf numFmtId="4" fontId="27" fillId="0" borderId="17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center"/>
    </xf>
    <xf numFmtId="4" fontId="23" fillId="0" borderId="37" xfId="0" applyNumberFormat="1" applyFont="1" applyBorder="1" applyAlignment="1">
      <alignment/>
    </xf>
    <xf numFmtId="0" fontId="23" fillId="0" borderId="49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3" xfId="0" applyFont="1" applyBorder="1" applyAlignment="1">
      <alignment/>
    </xf>
    <xf numFmtId="0" fontId="27" fillId="0" borderId="37" xfId="0" applyFont="1" applyFill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/>
    </xf>
    <xf numFmtId="4" fontId="28" fillId="0" borderId="13" xfId="0" applyNumberFormat="1" applyFont="1" applyBorder="1" applyAlignment="1">
      <alignment/>
    </xf>
    <xf numFmtId="4" fontId="28" fillId="0" borderId="17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4" fontId="23" fillId="0" borderId="11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36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" fontId="23" fillId="0" borderId="38" xfId="0" applyNumberFormat="1" applyFont="1" applyFill="1" applyBorder="1" applyAlignment="1">
      <alignment horizontal="center"/>
    </xf>
    <xf numFmtId="4" fontId="23" fillId="0" borderId="35" xfId="0" applyNumberFormat="1" applyFont="1" applyFill="1" applyBorder="1" applyAlignment="1">
      <alignment horizontal="center"/>
    </xf>
    <xf numFmtId="4" fontId="23" fillId="0" borderId="11" xfId="0" applyNumberFormat="1" applyFont="1" applyBorder="1" applyAlignment="1">
      <alignment/>
    </xf>
    <xf numFmtId="4" fontId="27" fillId="0" borderId="38" xfId="0" applyNumberFormat="1" applyFont="1" applyFill="1" applyBorder="1" applyAlignment="1">
      <alignment/>
    </xf>
    <xf numFmtId="4" fontId="27" fillId="0" borderId="27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13" fillId="0" borderId="25" xfId="0" applyNumberFormat="1" applyFont="1" applyBorder="1" applyAlignment="1">
      <alignment/>
    </xf>
    <xf numFmtId="4" fontId="13" fillId="0" borderId="37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23" fillId="0" borderId="10" xfId="0" applyFont="1" applyBorder="1" applyAlignment="1">
      <alignment/>
    </xf>
    <xf numFmtId="2" fontId="40" fillId="0" borderId="11" xfId="0" applyNumberFormat="1" applyFont="1" applyBorder="1" applyAlignment="1">
      <alignment horizontal="center"/>
    </xf>
    <xf numFmtId="2" fontId="40" fillId="0" borderId="38" xfId="0" applyNumberFormat="1" applyFont="1" applyBorder="1" applyAlignment="1">
      <alignment horizontal="center"/>
    </xf>
    <xf numFmtId="2" fontId="40" fillId="0" borderId="38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27" xfId="0" applyNumberFormat="1" applyFont="1" applyBorder="1" applyAlignment="1">
      <alignment horizontal="center"/>
    </xf>
    <xf numFmtId="49" fontId="40" fillId="0" borderId="27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7" xfId="0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27" xfId="0" applyNumberFormat="1" applyFont="1" applyBorder="1" applyAlignment="1">
      <alignment/>
    </xf>
    <xf numFmtId="3" fontId="40" fillId="0" borderId="27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3" fontId="40" fillId="0" borderId="27" xfId="0" applyNumberFormat="1" applyFont="1" applyFill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5" xfId="0" applyFont="1" applyFill="1" applyBorder="1" applyAlignment="1">
      <alignment/>
    </xf>
    <xf numFmtId="0" fontId="20" fillId="39" borderId="0" xfId="0" applyFont="1" applyFill="1" applyAlignment="1">
      <alignment/>
    </xf>
    <xf numFmtId="0" fontId="17" fillId="39" borderId="0" xfId="0" applyFont="1" applyFill="1" applyAlignment="1">
      <alignment horizontal="left"/>
    </xf>
    <xf numFmtId="0" fontId="0" fillId="39" borderId="0" xfId="0" applyFont="1" applyFill="1" applyAlignment="1">
      <alignment/>
    </xf>
    <xf numFmtId="0" fontId="16" fillId="39" borderId="0" xfId="0" applyFont="1" applyFill="1" applyAlignment="1">
      <alignment/>
    </xf>
    <xf numFmtId="4" fontId="13" fillId="39" borderId="0" xfId="0" applyNumberFormat="1" applyFont="1" applyFill="1" applyBorder="1" applyAlignment="1">
      <alignment/>
    </xf>
    <xf numFmtId="4" fontId="12" fillId="39" borderId="0" xfId="0" applyNumberFormat="1" applyFont="1" applyFill="1" applyAlignment="1">
      <alignment horizontal="center"/>
    </xf>
    <xf numFmtId="4" fontId="1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49" fontId="13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17" fillId="39" borderId="0" xfId="0" applyFont="1" applyFill="1" applyAlignment="1">
      <alignment/>
    </xf>
    <xf numFmtId="4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4" fontId="12" fillId="39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2" fontId="1" fillId="39" borderId="0" xfId="0" applyNumberFormat="1" applyFont="1" applyFill="1" applyAlignment="1">
      <alignment/>
    </xf>
    <xf numFmtId="0" fontId="12" fillId="39" borderId="0" xfId="0" applyFont="1" applyFill="1" applyAlignment="1">
      <alignment horizontal="right"/>
    </xf>
    <xf numFmtId="4" fontId="16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horizontal="right"/>
    </xf>
    <xf numFmtId="0" fontId="14" fillId="39" borderId="0" xfId="0" applyFont="1" applyFill="1" applyAlignment="1">
      <alignment horizontal="right"/>
    </xf>
    <xf numFmtId="0" fontId="27" fillId="39" borderId="0" xfId="35" applyFont="1" applyFill="1" applyAlignment="1" applyProtection="1">
      <alignment horizontal="center"/>
      <protection/>
    </xf>
    <xf numFmtId="4" fontId="16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23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right"/>
    </xf>
    <xf numFmtId="4" fontId="12" fillId="39" borderId="0" xfId="0" applyNumberFormat="1" applyFont="1" applyFill="1" applyBorder="1" applyAlignment="1">
      <alignment/>
    </xf>
    <xf numFmtId="1" fontId="12" fillId="39" borderId="0" xfId="0" applyNumberFormat="1" applyFont="1" applyFill="1" applyBorder="1" applyAlignment="1">
      <alignment horizontal="center"/>
    </xf>
    <xf numFmtId="0" fontId="19" fillId="39" borderId="0" xfId="0" applyFont="1" applyFill="1" applyBorder="1" applyAlignment="1">
      <alignment/>
    </xf>
    <xf numFmtId="0" fontId="17" fillId="39" borderId="0" xfId="35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right"/>
    </xf>
    <xf numFmtId="0" fontId="12" fillId="39" borderId="0" xfId="0" applyFont="1" applyFill="1" applyBorder="1" applyAlignment="1">
      <alignment horizontal="right"/>
    </xf>
    <xf numFmtId="4" fontId="12" fillId="39" borderId="0" xfId="0" applyNumberFormat="1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4" fontId="13" fillId="39" borderId="0" xfId="0" applyNumberFormat="1" applyFont="1" applyFill="1" applyBorder="1" applyAlignment="1">
      <alignment/>
    </xf>
    <xf numFmtId="0" fontId="19" fillId="39" borderId="0" xfId="0" applyFont="1" applyFill="1" applyAlignment="1">
      <alignment/>
    </xf>
    <xf numFmtId="0" fontId="1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left"/>
    </xf>
    <xf numFmtId="0" fontId="27" fillId="39" borderId="11" xfId="0" applyFont="1" applyFill="1" applyBorder="1" applyAlignment="1">
      <alignment horizontal="center"/>
    </xf>
    <xf numFmtId="0" fontId="27" fillId="39" borderId="38" xfId="0" applyFont="1" applyFill="1" applyBorder="1" applyAlignment="1">
      <alignment horizontal="center"/>
    </xf>
    <xf numFmtId="4" fontId="27" fillId="39" borderId="22" xfId="0" applyNumberFormat="1" applyFont="1" applyFill="1" applyBorder="1" applyAlignment="1">
      <alignment/>
    </xf>
    <xf numFmtId="0" fontId="13" fillId="39" borderId="42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40" fillId="0" borderId="0" xfId="0" applyNumberFormat="1" applyFont="1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Prihod po godinama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'Financijski plan-naslov-2017-OK'!$C$73:$C$81</c:f>
              <c:strCache/>
            </c:strRef>
          </c:cat>
          <c:val>
            <c:numRef>
              <c:f>'Financijski plan-naslov-2017-OK'!$D$73:$D$81</c:f>
              <c:numCache/>
            </c:numRef>
          </c:val>
        </c:ser>
        <c:overlap val="-27"/>
        <c:gapWidth val="219"/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48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PRIHOD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475"/>
          <c:w val="0.956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'Prva stranica-OK'!$A$17:$B$17</c:f>
              <c:strCache>
                <c:ptCount val="1"/>
                <c:pt idx="0">
                  <c:v>UKUPAN PRIHOD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'Prva stranica-OK'!$C$15:$J$15</c:f>
              <c:strCache/>
            </c:strRef>
          </c:cat>
          <c:val>
            <c:numRef>
              <c:f>'Prva stranica-OK'!$C$17:$J$17</c:f>
              <c:numCache/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RASHODI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9975"/>
          <c:w val="0.961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'Prva stranica-OK'!$A$19:$B$19</c:f>
              <c:strCache>
                <c:ptCount val="1"/>
                <c:pt idx="0">
                  <c:v>UKUPNO RASHODI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'Prva stranica-OK'!$C$15:$J$15</c:f>
              <c:strCache/>
            </c:strRef>
          </c:cat>
          <c:val>
            <c:numRef>
              <c:f>'Prva stranica-OK'!$C$19:$J$19</c:f>
              <c:numCache/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83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'Prihodi-dijagrami-2013'!#REF!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'Prihodi-dijagrami-2013'!#REF!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'Prihodi-dijagrami-2013'!#REF!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'Prihodi-dijagrami-2013'!#REF!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'Prihodi-dijagrami-2013'!#REF!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'Prihodi-dijagrami-2013'!#REF!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57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'Prihodi-dijagrami-2013'!#REF!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'Prihodi-dijagrami-2013'!#REF!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'Prihodi-dijagrami-2013'!#REF!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'Prihodi-dijagrami-2013'!#REF!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'Prihodi-dijagrami-2013'!#REF!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'Prihodi-dijagrami-2013'!#REF!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Prihod prema vrsti korisnika</a:t>
            </a:r>
          </a:p>
        </c:rich>
      </c:tx>
      <c:layout>
        <c:manualLayout>
          <c:xMode val="factor"/>
          <c:yMode val="factor"/>
          <c:x val="-0.04125"/>
          <c:y val="-0.00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5"/>
          <c:y val="0.33975"/>
          <c:w val="0.41475"/>
          <c:h val="0.3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'Prihodi-dijagrami-2013'!$B$216:$B$217</c:f>
              <c:strCache/>
            </c:strRef>
          </c:cat>
          <c:val>
            <c:numRef>
              <c:f>'Prihodi-dijagrami-2013'!$C$216:$C$217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5485"/>
          <c:w val="0.30075"/>
          <c:h val="0.22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Prihod prema JLS
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25"/>
          <c:y val="0.43225"/>
          <c:w val="0.440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Grad Novi Vinodolski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Vinodolska Općina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'Prihodi-dijagrami-2013'!$B$219:$B$220</c:f>
              <c:strCache/>
            </c:strRef>
          </c:cat>
          <c:val>
            <c:numRef>
              <c:f>'Prihodi-dijagrami-2013'!$C$219:$C$220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56"/>
          <c:w val="0.967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'Rashodi-rekapit.-analitika'!$J$17:$J$31</c:f>
              <c:strCache/>
            </c:strRef>
          </c:cat>
          <c:val>
            <c:numRef>
              <c:f>'Rashodi-rekapit.-analitika'!$K$17:$K$31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'Rashodi-rekapit.-analitika'!$J$17:$J$31</c:f>
              <c:strCache/>
            </c:strRef>
          </c:cat>
          <c:val>
            <c:numRef>
              <c:f>'Rashodi-rekapit.-analitika'!$L$17:$L$31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'Rashodi-rekapit.-analitika'!$J$17:$J$31</c:f>
              <c:strCache/>
            </c:strRef>
          </c:cat>
          <c:val>
            <c:numRef>
              <c:f>'Rashodi-rekapit.-analitika'!$M$17:$M$31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'Rashodi-rekapit.-analitika'!$J$17:$J$31</c:f>
              <c:strCache/>
            </c:strRef>
          </c:cat>
          <c:val>
            <c:numRef>
              <c:f>'Rashodi-rekapit.-analitika'!$N$17:$N$31</c:f>
              <c:numCache/>
            </c:numRef>
          </c:val>
        </c:ser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6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5675"/>
          <c:y val="0.16775"/>
          <c:w val="0.837"/>
          <c:h val="0.5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'Poslovne jedinice-rekapit'!#REF!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1</xdr:col>
      <xdr:colOff>76200</xdr:colOff>
      <xdr:row>4</xdr:row>
      <xdr:rowOff>142875</xdr:rowOff>
    </xdr:to>
    <xdr:pic>
      <xdr:nvPicPr>
        <xdr:cNvPr id="1" name="Picture 37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6</xdr:col>
      <xdr:colOff>266700</xdr:colOff>
      <xdr:row>30</xdr:row>
      <xdr:rowOff>0</xdr:rowOff>
    </xdr:to>
    <xdr:graphicFrame>
      <xdr:nvGraphicFramePr>
        <xdr:cNvPr id="2" name="Grafikon 4"/>
        <xdr:cNvGraphicFramePr/>
      </xdr:nvGraphicFramePr>
      <xdr:xfrm>
        <a:off x="533400" y="2505075"/>
        <a:ext cx="4572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1</xdr:col>
      <xdr:colOff>1733550</xdr:colOff>
      <xdr:row>0</xdr:row>
      <xdr:rowOff>0</xdr:rowOff>
    </xdr:to>
    <xdr:pic>
      <xdr:nvPicPr>
        <xdr:cNvPr id="1" name="Picture 1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1</xdr:col>
      <xdr:colOff>1733550</xdr:colOff>
      <xdr:row>0</xdr:row>
      <xdr:rowOff>0</xdr:rowOff>
    </xdr:to>
    <xdr:pic>
      <xdr:nvPicPr>
        <xdr:cNvPr id="2" name="Picture 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104775</xdr:rowOff>
    </xdr:from>
    <xdr:to>
      <xdr:col>1</xdr:col>
      <xdr:colOff>390525</xdr:colOff>
      <xdr:row>5</xdr:row>
      <xdr:rowOff>85725</xdr:rowOff>
    </xdr:to>
    <xdr:pic>
      <xdr:nvPicPr>
        <xdr:cNvPr id="3" name="Picture 8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4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5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6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8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58</xdr:row>
      <xdr:rowOff>57150</xdr:rowOff>
    </xdr:from>
    <xdr:to>
      <xdr:col>1</xdr:col>
      <xdr:colOff>314325</xdr:colOff>
      <xdr:row>61</xdr:row>
      <xdr:rowOff>142875</xdr:rowOff>
    </xdr:to>
    <xdr:pic>
      <xdr:nvPicPr>
        <xdr:cNvPr id="9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91552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123</xdr:row>
      <xdr:rowOff>57150</xdr:rowOff>
    </xdr:from>
    <xdr:to>
      <xdr:col>1</xdr:col>
      <xdr:colOff>314325</xdr:colOff>
      <xdr:row>126</xdr:row>
      <xdr:rowOff>142875</xdr:rowOff>
    </xdr:to>
    <xdr:pic>
      <xdr:nvPicPr>
        <xdr:cNvPr id="10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6977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171450</xdr:colOff>
      <xdr:row>5</xdr:row>
      <xdr:rowOff>0</xdr:rowOff>
    </xdr:to>
    <xdr:pic>
      <xdr:nvPicPr>
        <xdr:cNvPr id="11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123</xdr:row>
      <xdr:rowOff>57150</xdr:rowOff>
    </xdr:from>
    <xdr:to>
      <xdr:col>1</xdr:col>
      <xdr:colOff>314325</xdr:colOff>
      <xdr:row>126</xdr:row>
      <xdr:rowOff>142875</xdr:rowOff>
    </xdr:to>
    <xdr:pic>
      <xdr:nvPicPr>
        <xdr:cNvPr id="1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6977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1" name="Picture 10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2" name="Picture 1029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3" name="Picture 1030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19050</xdr:rowOff>
    </xdr:from>
    <xdr:to>
      <xdr:col>1</xdr:col>
      <xdr:colOff>133350</xdr:colOff>
      <xdr:row>4</xdr:row>
      <xdr:rowOff>66675</xdr:rowOff>
    </xdr:to>
    <xdr:pic>
      <xdr:nvPicPr>
        <xdr:cNvPr id="4" name="Picture 1032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4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5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6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8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9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0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58</xdr:row>
      <xdr:rowOff>57150</xdr:rowOff>
    </xdr:from>
    <xdr:to>
      <xdr:col>1</xdr:col>
      <xdr:colOff>314325</xdr:colOff>
      <xdr:row>61</xdr:row>
      <xdr:rowOff>142875</xdr:rowOff>
    </xdr:to>
    <xdr:pic>
      <xdr:nvPicPr>
        <xdr:cNvPr id="13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83932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122</xdr:row>
      <xdr:rowOff>57150</xdr:rowOff>
    </xdr:from>
    <xdr:to>
      <xdr:col>1</xdr:col>
      <xdr:colOff>314325</xdr:colOff>
      <xdr:row>125</xdr:row>
      <xdr:rowOff>142875</xdr:rowOff>
    </xdr:to>
    <xdr:pic>
      <xdr:nvPicPr>
        <xdr:cNvPr id="14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4052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171450</xdr:colOff>
      <xdr:row>5</xdr:row>
      <xdr:rowOff>0</xdr:rowOff>
    </xdr:to>
    <xdr:pic>
      <xdr:nvPicPr>
        <xdr:cNvPr id="15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122</xdr:row>
      <xdr:rowOff>57150</xdr:rowOff>
    </xdr:from>
    <xdr:to>
      <xdr:col>1</xdr:col>
      <xdr:colOff>314325</xdr:colOff>
      <xdr:row>125</xdr:row>
      <xdr:rowOff>142875</xdr:rowOff>
    </xdr:to>
    <xdr:pic>
      <xdr:nvPicPr>
        <xdr:cNvPr id="16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4052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4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5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6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8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58</xdr:row>
      <xdr:rowOff>57150</xdr:rowOff>
    </xdr:from>
    <xdr:to>
      <xdr:col>1</xdr:col>
      <xdr:colOff>314325</xdr:colOff>
      <xdr:row>61</xdr:row>
      <xdr:rowOff>142875</xdr:rowOff>
    </xdr:to>
    <xdr:pic>
      <xdr:nvPicPr>
        <xdr:cNvPr id="9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82027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122</xdr:row>
      <xdr:rowOff>57150</xdr:rowOff>
    </xdr:from>
    <xdr:to>
      <xdr:col>1</xdr:col>
      <xdr:colOff>314325</xdr:colOff>
      <xdr:row>125</xdr:row>
      <xdr:rowOff>142875</xdr:rowOff>
    </xdr:to>
    <xdr:pic>
      <xdr:nvPicPr>
        <xdr:cNvPr id="10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2147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171450</xdr:colOff>
      <xdr:row>5</xdr:row>
      <xdr:rowOff>0</xdr:rowOff>
    </xdr:to>
    <xdr:pic>
      <xdr:nvPicPr>
        <xdr:cNvPr id="11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122</xdr:row>
      <xdr:rowOff>57150</xdr:rowOff>
    </xdr:from>
    <xdr:to>
      <xdr:col>1</xdr:col>
      <xdr:colOff>314325</xdr:colOff>
      <xdr:row>125</xdr:row>
      <xdr:rowOff>142875</xdr:rowOff>
    </xdr:to>
    <xdr:pic>
      <xdr:nvPicPr>
        <xdr:cNvPr id="1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2147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38</xdr:row>
      <xdr:rowOff>0</xdr:rowOff>
    </xdr:from>
    <xdr:ext cx="361950" cy="142875"/>
    <xdr:sp fLocksText="0">
      <xdr:nvSpPr>
        <xdr:cNvPr id="1" name="Text Box 10"/>
        <xdr:cNvSpPr txBox="1">
          <a:spLocks noChangeArrowheads="1"/>
        </xdr:cNvSpPr>
      </xdr:nvSpPr>
      <xdr:spPr>
        <a:xfrm>
          <a:off x="466725" y="624840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9525</xdr:rowOff>
    </xdr:from>
    <xdr:ext cx="371475" cy="161925"/>
    <xdr:sp fLocksText="0">
      <xdr:nvSpPr>
        <xdr:cNvPr id="2" name="Text Box 11"/>
        <xdr:cNvSpPr txBox="1">
          <a:spLocks noChangeArrowheads="1"/>
        </xdr:cNvSpPr>
      </xdr:nvSpPr>
      <xdr:spPr>
        <a:xfrm>
          <a:off x="466725" y="690562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19050</xdr:rowOff>
    </xdr:from>
    <xdr:ext cx="361950" cy="161925"/>
    <xdr:sp fLocksText="0">
      <xdr:nvSpPr>
        <xdr:cNvPr id="3" name="Text Box 12"/>
        <xdr:cNvSpPr txBox="1">
          <a:spLocks noChangeArrowheads="1"/>
        </xdr:cNvSpPr>
      </xdr:nvSpPr>
      <xdr:spPr>
        <a:xfrm>
          <a:off x="466725" y="67532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95250</xdr:rowOff>
    </xdr:from>
    <xdr:ext cx="390525" cy="180975"/>
    <xdr:sp fLocksText="0">
      <xdr:nvSpPr>
        <xdr:cNvPr id="4" name="Text Box 14"/>
        <xdr:cNvSpPr txBox="1">
          <a:spLocks noChangeArrowheads="1"/>
        </xdr:cNvSpPr>
      </xdr:nvSpPr>
      <xdr:spPr>
        <a:xfrm>
          <a:off x="1647825" y="682942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104775</xdr:rowOff>
    </xdr:from>
    <xdr:ext cx="333375" cy="171450"/>
    <xdr:sp fLocksText="0">
      <xdr:nvSpPr>
        <xdr:cNvPr id="5" name="Text Box 15"/>
        <xdr:cNvSpPr txBox="1">
          <a:spLocks noChangeArrowheads="1"/>
        </xdr:cNvSpPr>
      </xdr:nvSpPr>
      <xdr:spPr>
        <a:xfrm>
          <a:off x="1647825" y="667702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</xdr:colOff>
      <xdr:row>39</xdr:row>
      <xdr:rowOff>76200</xdr:rowOff>
    </xdr:from>
    <xdr:ext cx="361950" cy="161925"/>
    <xdr:sp fLocksText="0">
      <xdr:nvSpPr>
        <xdr:cNvPr id="6" name="Text Box 18"/>
        <xdr:cNvSpPr txBox="1">
          <a:spLocks noChangeArrowheads="1"/>
        </xdr:cNvSpPr>
      </xdr:nvSpPr>
      <xdr:spPr>
        <a:xfrm>
          <a:off x="1857375" y="64865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38</xdr:row>
      <xdr:rowOff>66675</xdr:rowOff>
    </xdr:from>
    <xdr:ext cx="361950" cy="161925"/>
    <xdr:sp fLocksText="0">
      <xdr:nvSpPr>
        <xdr:cNvPr id="7" name="Text Box 20"/>
        <xdr:cNvSpPr txBox="1">
          <a:spLocks noChangeArrowheads="1"/>
        </xdr:cNvSpPr>
      </xdr:nvSpPr>
      <xdr:spPr>
        <a:xfrm>
          <a:off x="2190750" y="631507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33</xdr:row>
      <xdr:rowOff>9525</xdr:rowOff>
    </xdr:from>
    <xdr:to>
      <xdr:col>4</xdr:col>
      <xdr:colOff>323850</xdr:colOff>
      <xdr:row>44</xdr:row>
      <xdr:rowOff>133350</xdr:rowOff>
    </xdr:to>
    <xdr:graphicFrame>
      <xdr:nvGraphicFramePr>
        <xdr:cNvPr id="8" name="Chart 12"/>
        <xdr:cNvGraphicFramePr/>
      </xdr:nvGraphicFramePr>
      <xdr:xfrm>
        <a:off x="85725" y="5438775"/>
        <a:ext cx="33337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33</xdr:row>
      <xdr:rowOff>0</xdr:rowOff>
    </xdr:from>
    <xdr:to>
      <xdr:col>9</xdr:col>
      <xdr:colOff>542925</xdr:colOff>
      <xdr:row>44</xdr:row>
      <xdr:rowOff>152400</xdr:rowOff>
    </xdr:to>
    <xdr:graphicFrame>
      <xdr:nvGraphicFramePr>
        <xdr:cNvPr id="9" name="Chart 13"/>
        <xdr:cNvGraphicFramePr/>
      </xdr:nvGraphicFramePr>
      <xdr:xfrm>
        <a:off x="4029075" y="5429250"/>
        <a:ext cx="2895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</xdr:row>
      <xdr:rowOff>123825</xdr:rowOff>
    </xdr:from>
    <xdr:to>
      <xdr:col>1</xdr:col>
      <xdr:colOff>76200</xdr:colOff>
      <xdr:row>4</xdr:row>
      <xdr:rowOff>142875</xdr:rowOff>
    </xdr:to>
    <xdr:pic>
      <xdr:nvPicPr>
        <xdr:cNvPr id="10" name="Picture 37" descr="IVAN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95275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103</xdr:row>
      <xdr:rowOff>0</xdr:rowOff>
    </xdr:from>
    <xdr:ext cx="66675" cy="209550"/>
    <xdr:sp fLocksText="0">
      <xdr:nvSpPr>
        <xdr:cNvPr id="1" name="Text Box 18"/>
        <xdr:cNvSpPr txBox="1">
          <a:spLocks noChangeArrowheads="1"/>
        </xdr:cNvSpPr>
      </xdr:nvSpPr>
      <xdr:spPr>
        <a:xfrm>
          <a:off x="5543550" y="17697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116</xdr:row>
      <xdr:rowOff>0</xdr:rowOff>
    </xdr:from>
    <xdr:ext cx="66675" cy="190500"/>
    <xdr:sp fLocksText="0">
      <xdr:nvSpPr>
        <xdr:cNvPr id="2" name="Text Box 36"/>
        <xdr:cNvSpPr txBox="1">
          <a:spLocks noChangeArrowheads="1"/>
        </xdr:cNvSpPr>
      </xdr:nvSpPr>
      <xdr:spPr>
        <a:xfrm>
          <a:off x="5543550" y="19954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116</xdr:row>
      <xdr:rowOff>0</xdr:rowOff>
    </xdr:from>
    <xdr:ext cx="76200" cy="190500"/>
    <xdr:sp fLocksText="0">
      <xdr:nvSpPr>
        <xdr:cNvPr id="3" name="Text Box 42"/>
        <xdr:cNvSpPr txBox="1">
          <a:spLocks noChangeArrowheads="1"/>
        </xdr:cNvSpPr>
      </xdr:nvSpPr>
      <xdr:spPr>
        <a:xfrm>
          <a:off x="5562600" y="199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194</xdr:row>
      <xdr:rowOff>0</xdr:rowOff>
    </xdr:from>
    <xdr:ext cx="66675" cy="190500"/>
    <xdr:sp fLocksText="0">
      <xdr:nvSpPr>
        <xdr:cNvPr id="4" name="Text Box 57"/>
        <xdr:cNvSpPr txBox="1">
          <a:spLocks noChangeArrowheads="1"/>
        </xdr:cNvSpPr>
      </xdr:nvSpPr>
      <xdr:spPr>
        <a:xfrm>
          <a:off x="5905500" y="3334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552450</xdr:colOff>
      <xdr:row>194</xdr:row>
      <xdr:rowOff>0</xdr:rowOff>
    </xdr:from>
    <xdr:ext cx="66675" cy="190500"/>
    <xdr:sp fLocksText="0">
      <xdr:nvSpPr>
        <xdr:cNvPr id="5" name="Text Box 58"/>
        <xdr:cNvSpPr txBox="1">
          <a:spLocks noChangeArrowheads="1"/>
        </xdr:cNvSpPr>
      </xdr:nvSpPr>
      <xdr:spPr>
        <a:xfrm>
          <a:off x="3019425" y="3334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66675" cy="190500"/>
    <xdr:sp fLocksText="0">
      <xdr:nvSpPr>
        <xdr:cNvPr id="6" name="Text Box 59"/>
        <xdr:cNvSpPr txBox="1">
          <a:spLocks noChangeArrowheads="1"/>
        </xdr:cNvSpPr>
      </xdr:nvSpPr>
      <xdr:spPr>
        <a:xfrm>
          <a:off x="5543550" y="3334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66675" cy="190500"/>
    <xdr:sp fLocksText="0">
      <xdr:nvSpPr>
        <xdr:cNvPr id="7" name="Text Box 61"/>
        <xdr:cNvSpPr txBox="1">
          <a:spLocks noChangeArrowheads="1"/>
        </xdr:cNvSpPr>
      </xdr:nvSpPr>
      <xdr:spPr>
        <a:xfrm>
          <a:off x="5543550" y="3334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409575</xdr:colOff>
      <xdr:row>194</xdr:row>
      <xdr:rowOff>0</xdr:rowOff>
    </xdr:from>
    <xdr:ext cx="66675" cy="190500"/>
    <xdr:sp fLocksText="0">
      <xdr:nvSpPr>
        <xdr:cNvPr id="8" name="Text Box 72"/>
        <xdr:cNvSpPr txBox="1">
          <a:spLocks noChangeArrowheads="1"/>
        </xdr:cNvSpPr>
      </xdr:nvSpPr>
      <xdr:spPr>
        <a:xfrm>
          <a:off x="5486400" y="3334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194</xdr:row>
      <xdr:rowOff>0</xdr:rowOff>
    </xdr:from>
    <xdr:ext cx="66675" cy="190500"/>
    <xdr:sp fLocksText="0">
      <xdr:nvSpPr>
        <xdr:cNvPr id="9" name="Text Box 78"/>
        <xdr:cNvSpPr txBox="1">
          <a:spLocks noChangeArrowheads="1"/>
        </xdr:cNvSpPr>
      </xdr:nvSpPr>
      <xdr:spPr>
        <a:xfrm>
          <a:off x="5438775" y="33347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211</xdr:row>
      <xdr:rowOff>0</xdr:rowOff>
    </xdr:from>
    <xdr:ext cx="66675" cy="200025"/>
    <xdr:sp fLocksText="0">
      <xdr:nvSpPr>
        <xdr:cNvPr id="10" name="Text Box 86"/>
        <xdr:cNvSpPr txBox="1">
          <a:spLocks noChangeArrowheads="1"/>
        </xdr:cNvSpPr>
      </xdr:nvSpPr>
      <xdr:spPr>
        <a:xfrm>
          <a:off x="7762875" y="361188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95250</xdr:colOff>
      <xdr:row>103</xdr:row>
      <xdr:rowOff>0</xdr:rowOff>
    </xdr:from>
    <xdr:ext cx="66675" cy="209550"/>
    <xdr:sp fLocksText="0">
      <xdr:nvSpPr>
        <xdr:cNvPr id="11" name="Text Box 91"/>
        <xdr:cNvSpPr txBox="1">
          <a:spLocks noChangeArrowheads="1"/>
        </xdr:cNvSpPr>
      </xdr:nvSpPr>
      <xdr:spPr>
        <a:xfrm>
          <a:off x="4000500" y="17697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103</xdr:row>
      <xdr:rowOff>0</xdr:rowOff>
    </xdr:from>
    <xdr:ext cx="771525" cy="152400"/>
    <xdr:sp>
      <xdr:nvSpPr>
        <xdr:cNvPr id="12" name="Text Box 92"/>
        <xdr:cNvSpPr txBox="1">
          <a:spLocks noChangeArrowheads="1"/>
        </xdr:cNvSpPr>
      </xdr:nvSpPr>
      <xdr:spPr>
        <a:xfrm>
          <a:off x="3209925" y="1769745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115</xdr:row>
      <xdr:rowOff>0</xdr:rowOff>
    </xdr:from>
    <xdr:ext cx="66675" cy="209550"/>
    <xdr:sp fLocksText="0">
      <xdr:nvSpPr>
        <xdr:cNvPr id="13" name="Text Box 93"/>
        <xdr:cNvSpPr txBox="1">
          <a:spLocks noChangeArrowheads="1"/>
        </xdr:cNvSpPr>
      </xdr:nvSpPr>
      <xdr:spPr>
        <a:xfrm>
          <a:off x="7762875" y="19773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115</xdr:row>
      <xdr:rowOff>0</xdr:rowOff>
    </xdr:from>
    <xdr:ext cx="66675" cy="209550"/>
    <xdr:sp fLocksText="0">
      <xdr:nvSpPr>
        <xdr:cNvPr id="14" name="Text Box 95"/>
        <xdr:cNvSpPr txBox="1">
          <a:spLocks noChangeArrowheads="1"/>
        </xdr:cNvSpPr>
      </xdr:nvSpPr>
      <xdr:spPr>
        <a:xfrm>
          <a:off x="7762875" y="19773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15" name="Text Box 114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2028825</xdr:colOff>
      <xdr:row>192</xdr:row>
      <xdr:rowOff>0</xdr:rowOff>
    </xdr:from>
    <xdr:ext cx="66675" cy="200025"/>
    <xdr:sp fLocksText="0">
      <xdr:nvSpPr>
        <xdr:cNvPr id="16" name="Text Box 126"/>
        <xdr:cNvSpPr txBox="1">
          <a:spLocks noChangeArrowheads="1"/>
        </xdr:cNvSpPr>
      </xdr:nvSpPr>
      <xdr:spPr>
        <a:xfrm>
          <a:off x="2333625" y="33013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66675" cy="190500"/>
    <xdr:sp fLocksText="0">
      <xdr:nvSpPr>
        <xdr:cNvPr id="17" name="Text Box 138"/>
        <xdr:cNvSpPr txBox="1">
          <a:spLocks noChangeArrowheads="1"/>
        </xdr:cNvSpPr>
      </xdr:nvSpPr>
      <xdr:spPr>
        <a:xfrm>
          <a:off x="3905250" y="33175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192</xdr:row>
      <xdr:rowOff>0</xdr:rowOff>
    </xdr:from>
    <xdr:ext cx="66675" cy="200025"/>
    <xdr:sp fLocksText="0">
      <xdr:nvSpPr>
        <xdr:cNvPr id="18" name="Text Box 142"/>
        <xdr:cNvSpPr txBox="1">
          <a:spLocks noChangeArrowheads="1"/>
        </xdr:cNvSpPr>
      </xdr:nvSpPr>
      <xdr:spPr>
        <a:xfrm>
          <a:off x="1971675" y="330136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162</xdr:row>
      <xdr:rowOff>0</xdr:rowOff>
    </xdr:from>
    <xdr:ext cx="66675" cy="190500"/>
    <xdr:sp fLocksText="0">
      <xdr:nvSpPr>
        <xdr:cNvPr id="19" name="Text Box 158"/>
        <xdr:cNvSpPr txBox="1">
          <a:spLocks noChangeArrowheads="1"/>
        </xdr:cNvSpPr>
      </xdr:nvSpPr>
      <xdr:spPr>
        <a:xfrm>
          <a:off x="7762875" y="27870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257175</xdr:colOff>
      <xdr:row>173</xdr:row>
      <xdr:rowOff>0</xdr:rowOff>
    </xdr:from>
    <xdr:ext cx="66675" cy="190500"/>
    <xdr:sp fLocksText="0">
      <xdr:nvSpPr>
        <xdr:cNvPr id="20" name="Text Box 165"/>
        <xdr:cNvSpPr txBox="1">
          <a:spLocks noChangeArrowheads="1"/>
        </xdr:cNvSpPr>
      </xdr:nvSpPr>
      <xdr:spPr>
        <a:xfrm>
          <a:off x="86296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86</xdr:row>
      <xdr:rowOff>0</xdr:rowOff>
    </xdr:from>
    <xdr:ext cx="647700" cy="304800"/>
    <xdr:sp fLocksText="0">
      <xdr:nvSpPr>
        <xdr:cNvPr id="21" name="Text Box 184"/>
        <xdr:cNvSpPr txBox="1">
          <a:spLocks noChangeArrowheads="1"/>
        </xdr:cNvSpPr>
      </xdr:nvSpPr>
      <xdr:spPr>
        <a:xfrm>
          <a:off x="7762875" y="148209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116</xdr:row>
      <xdr:rowOff>0</xdr:rowOff>
    </xdr:from>
    <xdr:ext cx="66675" cy="190500"/>
    <xdr:sp fLocksText="0">
      <xdr:nvSpPr>
        <xdr:cNvPr id="22" name="Text Box 185"/>
        <xdr:cNvSpPr txBox="1">
          <a:spLocks noChangeArrowheads="1"/>
        </xdr:cNvSpPr>
      </xdr:nvSpPr>
      <xdr:spPr>
        <a:xfrm>
          <a:off x="7762875" y="19954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116</xdr:row>
      <xdr:rowOff>0</xdr:rowOff>
    </xdr:from>
    <xdr:ext cx="66675" cy="190500"/>
    <xdr:sp fLocksText="0">
      <xdr:nvSpPr>
        <xdr:cNvPr id="23" name="Text Box 186"/>
        <xdr:cNvSpPr txBox="1">
          <a:spLocks noChangeArrowheads="1"/>
        </xdr:cNvSpPr>
      </xdr:nvSpPr>
      <xdr:spPr>
        <a:xfrm>
          <a:off x="7762875" y="199548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447675" cy="228600"/>
    <xdr:sp fLocksText="0">
      <xdr:nvSpPr>
        <xdr:cNvPr id="24" name="Text Box 190"/>
        <xdr:cNvSpPr txBox="1">
          <a:spLocks noChangeArrowheads="1"/>
        </xdr:cNvSpPr>
      </xdr:nvSpPr>
      <xdr:spPr>
        <a:xfrm>
          <a:off x="7762875" y="19954875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609600</xdr:colOff>
      <xdr:row>173</xdr:row>
      <xdr:rowOff>0</xdr:rowOff>
    </xdr:from>
    <xdr:to>
      <xdr:col>22</xdr:col>
      <xdr:colOff>609600</xdr:colOff>
      <xdr:row>173</xdr:row>
      <xdr:rowOff>0</xdr:rowOff>
    </xdr:to>
    <xdr:pic>
      <xdr:nvPicPr>
        <xdr:cNvPr id="25" name="Picture 230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975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257175</xdr:colOff>
      <xdr:row>173</xdr:row>
      <xdr:rowOff>0</xdr:rowOff>
    </xdr:from>
    <xdr:ext cx="66675" cy="190500"/>
    <xdr:sp fLocksText="0">
      <xdr:nvSpPr>
        <xdr:cNvPr id="26" name="Text Box 240"/>
        <xdr:cNvSpPr txBox="1">
          <a:spLocks noChangeArrowheads="1"/>
        </xdr:cNvSpPr>
      </xdr:nvSpPr>
      <xdr:spPr>
        <a:xfrm>
          <a:off x="4162425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1133475</xdr:colOff>
      <xdr:row>173</xdr:row>
      <xdr:rowOff>0</xdr:rowOff>
    </xdr:from>
    <xdr:to>
      <xdr:col>1</xdr:col>
      <xdr:colOff>1828800</xdr:colOff>
      <xdr:row>173</xdr:row>
      <xdr:rowOff>0</xdr:rowOff>
    </xdr:to>
    <xdr:pic>
      <xdr:nvPicPr>
        <xdr:cNvPr id="27" name="Picture 241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97561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28" name="Text Box 255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162</xdr:row>
      <xdr:rowOff>0</xdr:rowOff>
    </xdr:from>
    <xdr:ext cx="66675" cy="190500"/>
    <xdr:sp fLocksText="0">
      <xdr:nvSpPr>
        <xdr:cNvPr id="29" name="Text Box 280"/>
        <xdr:cNvSpPr txBox="1">
          <a:spLocks noChangeArrowheads="1"/>
        </xdr:cNvSpPr>
      </xdr:nvSpPr>
      <xdr:spPr>
        <a:xfrm>
          <a:off x="14706600" y="27870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30" name="Text Box 282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162</xdr:row>
      <xdr:rowOff>0</xdr:rowOff>
    </xdr:from>
    <xdr:ext cx="66675" cy="190500"/>
    <xdr:sp fLocksText="0">
      <xdr:nvSpPr>
        <xdr:cNvPr id="31" name="Text Box 300"/>
        <xdr:cNvSpPr txBox="1">
          <a:spLocks noChangeArrowheads="1"/>
        </xdr:cNvSpPr>
      </xdr:nvSpPr>
      <xdr:spPr>
        <a:xfrm>
          <a:off x="7762875" y="27870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66675" cy="190500"/>
    <xdr:sp fLocksText="0">
      <xdr:nvSpPr>
        <xdr:cNvPr id="32" name="Text Box 301"/>
        <xdr:cNvSpPr txBox="1">
          <a:spLocks noChangeArrowheads="1"/>
        </xdr:cNvSpPr>
      </xdr:nvSpPr>
      <xdr:spPr>
        <a:xfrm>
          <a:off x="55435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33" name="Text Box 302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34" name="Text Box 303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35" name="Text Box 304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66675" cy="190500"/>
    <xdr:sp fLocksText="0">
      <xdr:nvSpPr>
        <xdr:cNvPr id="36" name="Text Box 305"/>
        <xdr:cNvSpPr txBox="1">
          <a:spLocks noChangeArrowheads="1"/>
        </xdr:cNvSpPr>
      </xdr:nvSpPr>
      <xdr:spPr>
        <a:xfrm>
          <a:off x="39052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66675" cy="190500"/>
    <xdr:sp fLocksText="0">
      <xdr:nvSpPr>
        <xdr:cNvPr id="37" name="Text Box 306"/>
        <xdr:cNvSpPr txBox="1">
          <a:spLocks noChangeArrowheads="1"/>
        </xdr:cNvSpPr>
      </xdr:nvSpPr>
      <xdr:spPr>
        <a:xfrm>
          <a:off x="5543550" y="29756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1114425</xdr:colOff>
      <xdr:row>157</xdr:row>
      <xdr:rowOff>0</xdr:rowOff>
    </xdr:from>
    <xdr:to>
      <xdr:col>26</xdr:col>
      <xdr:colOff>0</xdr:colOff>
      <xdr:row>157</xdr:row>
      <xdr:rowOff>0</xdr:rowOff>
    </xdr:to>
    <xdr:graphicFrame>
      <xdr:nvGraphicFramePr>
        <xdr:cNvPr id="38" name="Chart 308"/>
        <xdr:cNvGraphicFramePr/>
      </xdr:nvGraphicFramePr>
      <xdr:xfrm>
        <a:off x="14706600" y="27041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graphicFrame>
      <xdr:nvGraphicFramePr>
        <xdr:cNvPr id="39" name="Chart 324"/>
        <xdr:cNvGraphicFramePr/>
      </xdr:nvGraphicFramePr>
      <xdr:xfrm>
        <a:off x="14706600" y="17697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19050</xdr:colOff>
      <xdr:row>152</xdr:row>
      <xdr:rowOff>0</xdr:rowOff>
    </xdr:from>
    <xdr:ext cx="76200" cy="190500"/>
    <xdr:sp fLocksText="0">
      <xdr:nvSpPr>
        <xdr:cNvPr id="40" name="Text Box 325"/>
        <xdr:cNvSpPr txBox="1">
          <a:spLocks noChangeArrowheads="1"/>
        </xdr:cNvSpPr>
      </xdr:nvSpPr>
      <xdr:spPr>
        <a:xfrm>
          <a:off x="5562600" y="26127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162</xdr:row>
      <xdr:rowOff>0</xdr:rowOff>
    </xdr:from>
    <xdr:ext cx="66675" cy="190500"/>
    <xdr:sp fLocksText="0">
      <xdr:nvSpPr>
        <xdr:cNvPr id="41" name="Text Box 326"/>
        <xdr:cNvSpPr txBox="1">
          <a:spLocks noChangeArrowheads="1"/>
        </xdr:cNvSpPr>
      </xdr:nvSpPr>
      <xdr:spPr>
        <a:xfrm>
          <a:off x="14706600" y="27870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161</xdr:row>
      <xdr:rowOff>0</xdr:rowOff>
    </xdr:from>
    <xdr:ext cx="66675" cy="190500"/>
    <xdr:sp fLocksText="0">
      <xdr:nvSpPr>
        <xdr:cNvPr id="42" name="Text Box 338"/>
        <xdr:cNvSpPr txBox="1">
          <a:spLocks noChangeArrowheads="1"/>
        </xdr:cNvSpPr>
      </xdr:nvSpPr>
      <xdr:spPr>
        <a:xfrm>
          <a:off x="7762875" y="2769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161</xdr:row>
      <xdr:rowOff>0</xdr:rowOff>
    </xdr:from>
    <xdr:ext cx="66675" cy="190500"/>
    <xdr:sp fLocksText="0">
      <xdr:nvSpPr>
        <xdr:cNvPr id="43" name="Text Box 339"/>
        <xdr:cNvSpPr txBox="1">
          <a:spLocks noChangeArrowheads="1"/>
        </xdr:cNvSpPr>
      </xdr:nvSpPr>
      <xdr:spPr>
        <a:xfrm>
          <a:off x="14706600" y="2769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161</xdr:row>
      <xdr:rowOff>0</xdr:rowOff>
    </xdr:from>
    <xdr:ext cx="66675" cy="190500"/>
    <xdr:sp fLocksText="0">
      <xdr:nvSpPr>
        <xdr:cNvPr id="44" name="Text Box 340"/>
        <xdr:cNvSpPr txBox="1">
          <a:spLocks noChangeArrowheads="1"/>
        </xdr:cNvSpPr>
      </xdr:nvSpPr>
      <xdr:spPr>
        <a:xfrm>
          <a:off x="7762875" y="2769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161</xdr:row>
      <xdr:rowOff>0</xdr:rowOff>
    </xdr:from>
    <xdr:ext cx="66675" cy="190500"/>
    <xdr:sp fLocksText="0">
      <xdr:nvSpPr>
        <xdr:cNvPr id="45" name="Text Box 341"/>
        <xdr:cNvSpPr txBox="1">
          <a:spLocks noChangeArrowheads="1"/>
        </xdr:cNvSpPr>
      </xdr:nvSpPr>
      <xdr:spPr>
        <a:xfrm>
          <a:off x="14706600" y="276987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552450</xdr:colOff>
      <xdr:row>125</xdr:row>
      <xdr:rowOff>0</xdr:rowOff>
    </xdr:from>
    <xdr:ext cx="66675" cy="190500"/>
    <xdr:sp fLocksText="0">
      <xdr:nvSpPr>
        <xdr:cNvPr id="46" name="Text Box 58"/>
        <xdr:cNvSpPr txBox="1">
          <a:spLocks noChangeArrowheads="1"/>
        </xdr:cNvSpPr>
      </xdr:nvSpPr>
      <xdr:spPr>
        <a:xfrm>
          <a:off x="3019425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162</xdr:row>
      <xdr:rowOff>85725</xdr:rowOff>
    </xdr:from>
    <xdr:ext cx="1028700" cy="200025"/>
    <xdr:sp fLocksText="0">
      <xdr:nvSpPr>
        <xdr:cNvPr id="47" name="Text Box 78"/>
        <xdr:cNvSpPr txBox="1">
          <a:spLocks noChangeArrowheads="1"/>
        </xdr:cNvSpPr>
      </xdr:nvSpPr>
      <xdr:spPr>
        <a:xfrm>
          <a:off x="5895975" y="2795587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66675" cy="190500"/>
    <xdr:sp fLocksText="0">
      <xdr:nvSpPr>
        <xdr:cNvPr id="48" name="Text Box 138"/>
        <xdr:cNvSpPr txBox="1">
          <a:spLocks noChangeArrowheads="1"/>
        </xdr:cNvSpPr>
      </xdr:nvSpPr>
      <xdr:spPr>
        <a:xfrm>
          <a:off x="3905250" y="21326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77</xdr:row>
      <xdr:rowOff>47625</xdr:rowOff>
    </xdr:from>
    <xdr:to>
      <xdr:col>1</xdr:col>
      <xdr:colOff>457200</xdr:colOff>
      <xdr:row>81</xdr:row>
      <xdr:rowOff>9525</xdr:rowOff>
    </xdr:to>
    <xdr:pic>
      <xdr:nvPicPr>
        <xdr:cNvPr id="49" name="Picture 196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159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153</xdr:row>
      <xdr:rowOff>47625</xdr:rowOff>
    </xdr:from>
    <xdr:to>
      <xdr:col>1</xdr:col>
      <xdr:colOff>457200</xdr:colOff>
      <xdr:row>158</xdr:row>
      <xdr:rowOff>0</xdr:rowOff>
    </xdr:to>
    <xdr:pic>
      <xdr:nvPicPr>
        <xdr:cNvPr id="50" name="Picture 196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346150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88</xdr:row>
      <xdr:rowOff>133350</xdr:rowOff>
    </xdr:from>
    <xdr:to>
      <xdr:col>2</xdr:col>
      <xdr:colOff>942975</xdr:colOff>
      <xdr:row>100</xdr:row>
      <xdr:rowOff>142875</xdr:rowOff>
    </xdr:to>
    <xdr:graphicFrame>
      <xdr:nvGraphicFramePr>
        <xdr:cNvPr id="51" name="Chart 60"/>
        <xdr:cNvGraphicFramePr/>
      </xdr:nvGraphicFramePr>
      <xdr:xfrm>
        <a:off x="314325" y="15278100"/>
        <a:ext cx="30956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89</xdr:row>
      <xdr:rowOff>0</xdr:rowOff>
    </xdr:from>
    <xdr:to>
      <xdr:col>6</xdr:col>
      <xdr:colOff>447675</xdr:colOff>
      <xdr:row>101</xdr:row>
      <xdr:rowOff>0</xdr:rowOff>
    </xdr:to>
    <xdr:graphicFrame>
      <xdr:nvGraphicFramePr>
        <xdr:cNvPr id="52" name="Chart 61"/>
        <xdr:cNvGraphicFramePr/>
      </xdr:nvGraphicFramePr>
      <xdr:xfrm>
        <a:off x="3905250" y="15306675"/>
        <a:ext cx="320040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53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54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55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56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141</xdr:row>
      <xdr:rowOff>123825</xdr:rowOff>
    </xdr:from>
    <xdr:ext cx="66675" cy="190500"/>
    <xdr:sp fLocksText="0">
      <xdr:nvSpPr>
        <xdr:cNvPr id="57" name="Text Box 72"/>
        <xdr:cNvSpPr txBox="1">
          <a:spLocks noChangeArrowheads="1"/>
        </xdr:cNvSpPr>
      </xdr:nvSpPr>
      <xdr:spPr>
        <a:xfrm>
          <a:off x="4210050" y="2436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58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129</xdr:row>
      <xdr:rowOff>133350</xdr:rowOff>
    </xdr:from>
    <xdr:ext cx="66675" cy="180975"/>
    <xdr:sp fLocksText="0">
      <xdr:nvSpPr>
        <xdr:cNvPr id="59" name="Text Box 72"/>
        <xdr:cNvSpPr txBox="1">
          <a:spLocks noChangeArrowheads="1"/>
        </xdr:cNvSpPr>
      </xdr:nvSpPr>
      <xdr:spPr>
        <a:xfrm>
          <a:off x="4076700" y="223170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60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685800</xdr:colOff>
      <xdr:row>129</xdr:row>
      <xdr:rowOff>133350</xdr:rowOff>
    </xdr:from>
    <xdr:ext cx="66675" cy="190500"/>
    <xdr:sp fLocksText="0">
      <xdr:nvSpPr>
        <xdr:cNvPr id="61" name="Text Box 72"/>
        <xdr:cNvSpPr txBox="1">
          <a:spLocks noChangeArrowheads="1"/>
        </xdr:cNvSpPr>
      </xdr:nvSpPr>
      <xdr:spPr>
        <a:xfrm>
          <a:off x="4591050" y="22317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62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514350</xdr:colOff>
      <xdr:row>141</xdr:row>
      <xdr:rowOff>95250</xdr:rowOff>
    </xdr:from>
    <xdr:ext cx="66675" cy="200025"/>
    <xdr:sp fLocksText="0">
      <xdr:nvSpPr>
        <xdr:cNvPr id="63" name="Text Box 72"/>
        <xdr:cNvSpPr txBox="1">
          <a:spLocks noChangeArrowheads="1"/>
        </xdr:cNvSpPr>
      </xdr:nvSpPr>
      <xdr:spPr>
        <a:xfrm>
          <a:off x="4419600" y="243363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66675" cy="190500"/>
    <xdr:sp fLocksText="0">
      <xdr:nvSpPr>
        <xdr:cNvPr id="64" name="Text Box 138"/>
        <xdr:cNvSpPr txBox="1">
          <a:spLocks noChangeArrowheads="1"/>
        </xdr:cNvSpPr>
      </xdr:nvSpPr>
      <xdr:spPr>
        <a:xfrm>
          <a:off x="3905250" y="214979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122</xdr:row>
      <xdr:rowOff>0</xdr:rowOff>
    </xdr:from>
    <xdr:ext cx="66675" cy="190500"/>
    <xdr:sp fLocksText="0">
      <xdr:nvSpPr>
        <xdr:cNvPr id="65" name="Text Box 158"/>
        <xdr:cNvSpPr txBox="1">
          <a:spLocks noChangeArrowheads="1"/>
        </xdr:cNvSpPr>
      </xdr:nvSpPr>
      <xdr:spPr>
        <a:xfrm>
          <a:off x="7762875" y="20983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122</xdr:row>
      <xdr:rowOff>0</xdr:rowOff>
    </xdr:from>
    <xdr:ext cx="66675" cy="190500"/>
    <xdr:sp fLocksText="0">
      <xdr:nvSpPr>
        <xdr:cNvPr id="66" name="Text Box 300"/>
        <xdr:cNvSpPr txBox="1">
          <a:spLocks noChangeArrowheads="1"/>
        </xdr:cNvSpPr>
      </xdr:nvSpPr>
      <xdr:spPr>
        <a:xfrm>
          <a:off x="7762875" y="20983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120</xdr:row>
      <xdr:rowOff>0</xdr:rowOff>
    </xdr:from>
    <xdr:ext cx="66675" cy="190500"/>
    <xdr:sp fLocksText="0">
      <xdr:nvSpPr>
        <xdr:cNvPr id="67" name="Text Box 338"/>
        <xdr:cNvSpPr txBox="1">
          <a:spLocks noChangeArrowheads="1"/>
        </xdr:cNvSpPr>
      </xdr:nvSpPr>
      <xdr:spPr>
        <a:xfrm>
          <a:off x="7762875" y="206406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120</xdr:row>
      <xdr:rowOff>0</xdr:rowOff>
    </xdr:from>
    <xdr:ext cx="66675" cy="190500"/>
    <xdr:sp fLocksText="0">
      <xdr:nvSpPr>
        <xdr:cNvPr id="68" name="Text Box 340"/>
        <xdr:cNvSpPr txBox="1">
          <a:spLocks noChangeArrowheads="1"/>
        </xdr:cNvSpPr>
      </xdr:nvSpPr>
      <xdr:spPr>
        <a:xfrm>
          <a:off x="7762875" y="206406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104775</xdr:colOff>
      <xdr:row>1</xdr:row>
      <xdr:rowOff>123825</xdr:rowOff>
    </xdr:from>
    <xdr:to>
      <xdr:col>1</xdr:col>
      <xdr:colOff>381000</xdr:colOff>
      <xdr:row>4</xdr:row>
      <xdr:rowOff>142875</xdr:rowOff>
    </xdr:to>
    <xdr:pic>
      <xdr:nvPicPr>
        <xdr:cNvPr id="69" name="Picture 37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76</xdr:row>
      <xdr:rowOff>114300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3152775" y="1338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1666875</xdr:colOff>
      <xdr:row>38</xdr:row>
      <xdr:rowOff>66675</xdr:rowOff>
    </xdr:from>
    <xdr:ext cx="847725" cy="333375"/>
    <xdr:sp fLocksText="0">
      <xdr:nvSpPr>
        <xdr:cNvPr id="2" name="Text Box 34"/>
        <xdr:cNvSpPr txBox="1">
          <a:spLocks noChangeArrowheads="1"/>
        </xdr:cNvSpPr>
      </xdr:nvSpPr>
      <xdr:spPr>
        <a:xfrm>
          <a:off x="2114550" y="6638925"/>
          <a:ext cx="847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361950</xdr:colOff>
      <xdr:row>43</xdr:row>
      <xdr:rowOff>28575</xdr:rowOff>
    </xdr:from>
    <xdr:ext cx="990600" cy="238125"/>
    <xdr:sp fLocksText="0">
      <xdr:nvSpPr>
        <xdr:cNvPr id="3" name="Text Box 37"/>
        <xdr:cNvSpPr txBox="1">
          <a:spLocks noChangeArrowheads="1"/>
        </xdr:cNvSpPr>
      </xdr:nvSpPr>
      <xdr:spPr>
        <a:xfrm>
          <a:off x="361950" y="7410450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2171700</xdr:colOff>
      <xdr:row>40</xdr:row>
      <xdr:rowOff>133350</xdr:rowOff>
    </xdr:from>
    <xdr:ext cx="76200" cy="190500"/>
    <xdr:sp fLocksText="0">
      <xdr:nvSpPr>
        <xdr:cNvPr id="4" name="Text Box 51"/>
        <xdr:cNvSpPr txBox="1">
          <a:spLocks noChangeArrowheads="1"/>
        </xdr:cNvSpPr>
      </xdr:nvSpPr>
      <xdr:spPr>
        <a:xfrm>
          <a:off x="2619375" y="702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1257300</xdr:colOff>
      <xdr:row>39</xdr:row>
      <xdr:rowOff>19050</xdr:rowOff>
    </xdr:from>
    <xdr:ext cx="962025" cy="161925"/>
    <xdr:sp fLocksText="0">
      <xdr:nvSpPr>
        <xdr:cNvPr id="5" name="Text Box 73"/>
        <xdr:cNvSpPr txBox="1">
          <a:spLocks noChangeArrowheads="1"/>
        </xdr:cNvSpPr>
      </xdr:nvSpPr>
      <xdr:spPr>
        <a:xfrm>
          <a:off x="1704975" y="67532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276225</xdr:colOff>
      <xdr:row>37</xdr:row>
      <xdr:rowOff>152400</xdr:rowOff>
    </xdr:from>
    <xdr:to>
      <xdr:col>5</xdr:col>
      <xdr:colOff>476250</xdr:colOff>
      <xdr:row>55</xdr:row>
      <xdr:rowOff>95250</xdr:rowOff>
    </xdr:to>
    <xdr:graphicFrame>
      <xdr:nvGraphicFramePr>
        <xdr:cNvPr id="6" name="Grafikon 1567"/>
        <xdr:cNvGraphicFramePr/>
      </xdr:nvGraphicFramePr>
      <xdr:xfrm>
        <a:off x="276225" y="6562725"/>
        <a:ext cx="56959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123825</xdr:rowOff>
    </xdr:from>
    <xdr:to>
      <xdr:col>1</xdr:col>
      <xdr:colOff>390525</xdr:colOff>
      <xdr:row>4</xdr:row>
      <xdr:rowOff>142875</xdr:rowOff>
    </xdr:to>
    <xdr:pic>
      <xdr:nvPicPr>
        <xdr:cNvPr id="7" name="Picture 37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952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61</xdr:row>
      <xdr:rowOff>123825</xdr:rowOff>
    </xdr:from>
    <xdr:to>
      <xdr:col>1</xdr:col>
      <xdr:colOff>390525</xdr:colOff>
      <xdr:row>64</xdr:row>
      <xdr:rowOff>142875</xdr:rowOff>
    </xdr:to>
    <xdr:pic>
      <xdr:nvPicPr>
        <xdr:cNvPr id="8" name="Picture 37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70610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123825</xdr:rowOff>
    </xdr:from>
    <xdr:to>
      <xdr:col>0</xdr:col>
      <xdr:colOff>0</xdr:colOff>
      <xdr:row>125</xdr:row>
      <xdr:rowOff>142875</xdr:rowOff>
    </xdr:to>
    <xdr:pic>
      <xdr:nvPicPr>
        <xdr:cNvPr id="9" name="Picture 37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3455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</xdr:row>
      <xdr:rowOff>123825</xdr:rowOff>
    </xdr:from>
    <xdr:to>
      <xdr:col>0</xdr:col>
      <xdr:colOff>0</xdr:colOff>
      <xdr:row>192</xdr:row>
      <xdr:rowOff>0</xdr:rowOff>
    </xdr:to>
    <xdr:pic>
      <xdr:nvPicPr>
        <xdr:cNvPr id="10" name="Picture 37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4707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248</xdr:row>
      <xdr:rowOff>123825</xdr:rowOff>
    </xdr:from>
    <xdr:to>
      <xdr:col>0</xdr:col>
      <xdr:colOff>0</xdr:colOff>
      <xdr:row>251</xdr:row>
      <xdr:rowOff>142875</xdr:rowOff>
    </xdr:to>
    <xdr:pic>
      <xdr:nvPicPr>
        <xdr:cNvPr id="11" name="Picture 37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767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186</xdr:row>
      <xdr:rowOff>57150</xdr:rowOff>
    </xdr:from>
    <xdr:to>
      <xdr:col>1</xdr:col>
      <xdr:colOff>314325</xdr:colOff>
      <xdr:row>189</xdr:row>
      <xdr:rowOff>142875</xdr:rowOff>
    </xdr:to>
    <xdr:pic>
      <xdr:nvPicPr>
        <xdr:cNvPr id="12" name="Picture 25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183255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249</xdr:row>
      <xdr:rowOff>57150</xdr:rowOff>
    </xdr:from>
    <xdr:to>
      <xdr:col>1</xdr:col>
      <xdr:colOff>314325</xdr:colOff>
      <xdr:row>252</xdr:row>
      <xdr:rowOff>142875</xdr:rowOff>
    </xdr:to>
    <xdr:pic>
      <xdr:nvPicPr>
        <xdr:cNvPr id="13" name="Picture 25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2281475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122</xdr:row>
      <xdr:rowOff>47625</xdr:rowOff>
    </xdr:from>
    <xdr:to>
      <xdr:col>1</xdr:col>
      <xdr:colOff>171450</xdr:colOff>
      <xdr:row>126</xdr:row>
      <xdr:rowOff>0</xdr:rowOff>
    </xdr:to>
    <xdr:pic>
      <xdr:nvPicPr>
        <xdr:cNvPr id="14" name="Picture 14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2693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249</xdr:row>
      <xdr:rowOff>57150</xdr:rowOff>
    </xdr:from>
    <xdr:to>
      <xdr:col>1</xdr:col>
      <xdr:colOff>314325</xdr:colOff>
      <xdr:row>252</xdr:row>
      <xdr:rowOff>142875</xdr:rowOff>
    </xdr:to>
    <xdr:pic>
      <xdr:nvPicPr>
        <xdr:cNvPr id="15" name="Picture 25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2281475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404</xdr:row>
      <xdr:rowOff>0</xdr:rowOff>
    </xdr:from>
    <xdr:ext cx="76200" cy="209550"/>
    <xdr:sp fLocksText="0">
      <xdr:nvSpPr>
        <xdr:cNvPr id="1" name="Text Box 3073"/>
        <xdr:cNvSpPr txBox="1">
          <a:spLocks noChangeArrowheads="1"/>
        </xdr:cNvSpPr>
      </xdr:nvSpPr>
      <xdr:spPr>
        <a:xfrm>
          <a:off x="180975" y="7385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514350</xdr:colOff>
      <xdr:row>90</xdr:row>
      <xdr:rowOff>0</xdr:rowOff>
    </xdr:from>
    <xdr:ext cx="76200" cy="190500"/>
    <xdr:sp fLocksText="0">
      <xdr:nvSpPr>
        <xdr:cNvPr id="2" name="Text Box 3075"/>
        <xdr:cNvSpPr txBox="1">
          <a:spLocks noChangeArrowheads="1"/>
        </xdr:cNvSpPr>
      </xdr:nvSpPr>
      <xdr:spPr>
        <a:xfrm>
          <a:off x="4572000" y="15925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95250</xdr:colOff>
      <xdr:row>89</xdr:row>
      <xdr:rowOff>0</xdr:rowOff>
    </xdr:from>
    <xdr:ext cx="76200" cy="190500"/>
    <xdr:sp fLocksText="0">
      <xdr:nvSpPr>
        <xdr:cNvPr id="3" name="Text Box 3076"/>
        <xdr:cNvSpPr txBox="1">
          <a:spLocks noChangeArrowheads="1"/>
        </xdr:cNvSpPr>
      </xdr:nvSpPr>
      <xdr:spPr>
        <a:xfrm>
          <a:off x="3467100" y="15754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923925</xdr:colOff>
      <xdr:row>49</xdr:row>
      <xdr:rowOff>123825</xdr:rowOff>
    </xdr:from>
    <xdr:ext cx="2028825" cy="228600"/>
    <xdr:sp fLocksText="0">
      <xdr:nvSpPr>
        <xdr:cNvPr id="4" name="Text Box 3078"/>
        <xdr:cNvSpPr txBox="1">
          <a:spLocks noChangeArrowheads="1"/>
        </xdr:cNvSpPr>
      </xdr:nvSpPr>
      <xdr:spPr>
        <a:xfrm>
          <a:off x="3200400" y="8772525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38</xdr:row>
      <xdr:rowOff>85725</xdr:rowOff>
    </xdr:from>
    <xdr:ext cx="2286000" cy="190500"/>
    <xdr:sp fLocksText="0">
      <xdr:nvSpPr>
        <xdr:cNvPr id="5" name="Text Box 3079"/>
        <xdr:cNvSpPr txBox="1">
          <a:spLocks noChangeArrowheads="1"/>
        </xdr:cNvSpPr>
      </xdr:nvSpPr>
      <xdr:spPr>
        <a:xfrm>
          <a:off x="733425" y="6848475"/>
          <a:ext cx="2286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38</xdr:row>
      <xdr:rowOff>85725</xdr:rowOff>
    </xdr:from>
    <xdr:ext cx="1114425" cy="200025"/>
    <xdr:sp fLocksText="0">
      <xdr:nvSpPr>
        <xdr:cNvPr id="6" name="Text Box 3080"/>
        <xdr:cNvSpPr txBox="1">
          <a:spLocks noChangeArrowheads="1"/>
        </xdr:cNvSpPr>
      </xdr:nvSpPr>
      <xdr:spPr>
        <a:xfrm>
          <a:off x="3638550" y="684847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685800</xdr:colOff>
      <xdr:row>40</xdr:row>
      <xdr:rowOff>57150</xdr:rowOff>
    </xdr:from>
    <xdr:ext cx="1057275" cy="219075"/>
    <xdr:sp fLocksText="0">
      <xdr:nvSpPr>
        <xdr:cNvPr id="7" name="Text Box 3081"/>
        <xdr:cNvSpPr txBox="1">
          <a:spLocks noChangeArrowheads="1"/>
        </xdr:cNvSpPr>
      </xdr:nvSpPr>
      <xdr:spPr>
        <a:xfrm>
          <a:off x="4743450" y="7162800"/>
          <a:ext cx="1057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514350</xdr:colOff>
      <xdr:row>126</xdr:row>
      <xdr:rowOff>0</xdr:rowOff>
    </xdr:from>
    <xdr:ext cx="76200" cy="190500"/>
    <xdr:sp fLocksText="0">
      <xdr:nvSpPr>
        <xdr:cNvPr id="8" name="Text Box 3084"/>
        <xdr:cNvSpPr txBox="1">
          <a:spLocks noChangeArrowheads="1"/>
        </xdr:cNvSpPr>
      </xdr:nvSpPr>
      <xdr:spPr>
        <a:xfrm>
          <a:off x="4572000" y="2216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95250</xdr:colOff>
      <xdr:row>121</xdr:row>
      <xdr:rowOff>9525</xdr:rowOff>
    </xdr:from>
    <xdr:ext cx="76200" cy="190500"/>
    <xdr:sp fLocksText="0">
      <xdr:nvSpPr>
        <xdr:cNvPr id="9" name="Text Box 3085"/>
        <xdr:cNvSpPr txBox="1">
          <a:spLocks noChangeArrowheads="1"/>
        </xdr:cNvSpPr>
      </xdr:nvSpPr>
      <xdr:spPr>
        <a:xfrm>
          <a:off x="3467100" y="21316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89</xdr:row>
      <xdr:rowOff>0</xdr:rowOff>
    </xdr:from>
    <xdr:ext cx="1809750" cy="257175"/>
    <xdr:sp fLocksText="0">
      <xdr:nvSpPr>
        <xdr:cNvPr id="10" name="Text Box 3088"/>
        <xdr:cNvSpPr txBox="1">
          <a:spLocks noChangeArrowheads="1"/>
        </xdr:cNvSpPr>
      </xdr:nvSpPr>
      <xdr:spPr>
        <a:xfrm>
          <a:off x="3381375" y="15754350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1657350</xdr:colOff>
      <xdr:row>135</xdr:row>
      <xdr:rowOff>66675</xdr:rowOff>
    </xdr:from>
    <xdr:ext cx="447675" cy="219075"/>
    <xdr:sp fLocksText="0">
      <xdr:nvSpPr>
        <xdr:cNvPr id="11" name="Text Box 3089"/>
        <xdr:cNvSpPr txBox="1">
          <a:spLocks noChangeArrowheads="1"/>
        </xdr:cNvSpPr>
      </xdr:nvSpPr>
      <xdr:spPr>
        <a:xfrm>
          <a:off x="1933575" y="23774400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89</xdr:row>
      <xdr:rowOff>0</xdr:rowOff>
    </xdr:from>
    <xdr:ext cx="2228850" cy="333375"/>
    <xdr:sp fLocksText="0">
      <xdr:nvSpPr>
        <xdr:cNvPr id="12" name="Text Box 3090"/>
        <xdr:cNvSpPr txBox="1">
          <a:spLocks noChangeArrowheads="1"/>
        </xdr:cNvSpPr>
      </xdr:nvSpPr>
      <xdr:spPr>
        <a:xfrm>
          <a:off x="152400" y="15754350"/>
          <a:ext cx="2228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89</xdr:row>
      <xdr:rowOff>0</xdr:rowOff>
    </xdr:from>
    <xdr:ext cx="971550" cy="247650"/>
    <xdr:sp fLocksText="0">
      <xdr:nvSpPr>
        <xdr:cNvPr id="13" name="Text Box 3091"/>
        <xdr:cNvSpPr txBox="1">
          <a:spLocks noChangeArrowheads="1"/>
        </xdr:cNvSpPr>
      </xdr:nvSpPr>
      <xdr:spPr>
        <a:xfrm>
          <a:off x="142875" y="15754350"/>
          <a:ext cx="971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609600</xdr:colOff>
      <xdr:row>89</xdr:row>
      <xdr:rowOff>0</xdr:rowOff>
    </xdr:from>
    <xdr:ext cx="819150" cy="285750"/>
    <xdr:sp fLocksText="0">
      <xdr:nvSpPr>
        <xdr:cNvPr id="14" name="Text Box 3092"/>
        <xdr:cNvSpPr txBox="1">
          <a:spLocks noChangeArrowheads="1"/>
        </xdr:cNvSpPr>
      </xdr:nvSpPr>
      <xdr:spPr>
        <a:xfrm>
          <a:off x="885825" y="15754350"/>
          <a:ext cx="819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29</xdr:col>
      <xdr:colOff>314325</xdr:colOff>
      <xdr:row>93</xdr:row>
      <xdr:rowOff>76200</xdr:rowOff>
    </xdr:from>
    <xdr:to>
      <xdr:col>37</xdr:col>
      <xdr:colOff>333375</xdr:colOff>
      <xdr:row>110</xdr:row>
      <xdr:rowOff>9525</xdr:rowOff>
    </xdr:to>
    <xdr:graphicFrame>
      <xdr:nvGraphicFramePr>
        <xdr:cNvPr id="15" name="Chart 3098"/>
        <xdr:cNvGraphicFramePr/>
      </xdr:nvGraphicFramePr>
      <xdr:xfrm>
        <a:off x="20840700" y="16516350"/>
        <a:ext cx="4895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57150</xdr:rowOff>
    </xdr:from>
    <xdr:to>
      <xdr:col>1</xdr:col>
      <xdr:colOff>352425</xdr:colOff>
      <xdr:row>5</xdr:row>
      <xdr:rowOff>9525</xdr:rowOff>
    </xdr:to>
    <xdr:pic>
      <xdr:nvPicPr>
        <xdr:cNvPr id="16" name="Picture 3100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1104900</xdr:colOff>
      <xdr:row>34</xdr:row>
      <xdr:rowOff>133350</xdr:rowOff>
    </xdr:from>
    <xdr:ext cx="3800475" cy="228600"/>
    <xdr:sp fLocksText="0">
      <xdr:nvSpPr>
        <xdr:cNvPr id="17" name="Text Box 3103"/>
        <xdr:cNvSpPr txBox="1">
          <a:spLocks noChangeArrowheads="1"/>
        </xdr:cNvSpPr>
      </xdr:nvSpPr>
      <xdr:spPr>
        <a:xfrm>
          <a:off x="1381125" y="6210300"/>
          <a:ext cx="3800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56</xdr:row>
      <xdr:rowOff>57150</xdr:rowOff>
    </xdr:from>
    <xdr:to>
      <xdr:col>1</xdr:col>
      <xdr:colOff>352425</xdr:colOff>
      <xdr:row>60</xdr:row>
      <xdr:rowOff>9525</xdr:rowOff>
    </xdr:to>
    <xdr:pic>
      <xdr:nvPicPr>
        <xdr:cNvPr id="18" name="Picture 3100" descr="IVA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90600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1</xdr:col>
      <xdr:colOff>171450</xdr:colOff>
      <xdr:row>5</xdr:row>
      <xdr:rowOff>0</xdr:rowOff>
    </xdr:to>
    <xdr:pic>
      <xdr:nvPicPr>
        <xdr:cNvPr id="1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59</xdr:row>
      <xdr:rowOff>57150</xdr:rowOff>
    </xdr:from>
    <xdr:to>
      <xdr:col>1</xdr:col>
      <xdr:colOff>314325</xdr:colOff>
      <xdr:row>62</xdr:row>
      <xdr:rowOff>142875</xdr:rowOff>
    </xdr:to>
    <xdr:pic>
      <xdr:nvPicPr>
        <xdr:cNvPr id="1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00125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124</xdr:row>
      <xdr:rowOff>57150</xdr:rowOff>
    </xdr:from>
    <xdr:to>
      <xdr:col>1</xdr:col>
      <xdr:colOff>314325</xdr:colOff>
      <xdr:row>127</xdr:row>
      <xdr:rowOff>142875</xdr:rowOff>
    </xdr:to>
    <xdr:pic>
      <xdr:nvPicPr>
        <xdr:cNvPr id="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75485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171450</xdr:colOff>
      <xdr:row>5</xdr:row>
      <xdr:rowOff>0</xdr:rowOff>
    </xdr:to>
    <xdr:pic>
      <xdr:nvPicPr>
        <xdr:cNvPr id="3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124</xdr:row>
      <xdr:rowOff>57150</xdr:rowOff>
    </xdr:from>
    <xdr:to>
      <xdr:col>1</xdr:col>
      <xdr:colOff>314325</xdr:colOff>
      <xdr:row>127</xdr:row>
      <xdr:rowOff>142875</xdr:rowOff>
    </xdr:to>
    <xdr:pic>
      <xdr:nvPicPr>
        <xdr:cNvPr id="4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75485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114300</xdr:colOff>
      <xdr:row>5</xdr:row>
      <xdr:rowOff>47625</xdr:rowOff>
    </xdr:to>
    <xdr:pic>
      <xdr:nvPicPr>
        <xdr:cNvPr id="1" name="Picture 8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0</xdr:col>
      <xdr:colOff>514350</xdr:colOff>
      <xdr:row>0</xdr:row>
      <xdr:rowOff>0</xdr:rowOff>
    </xdr:to>
    <xdr:pic>
      <xdr:nvPicPr>
        <xdr:cNvPr id="1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514350</xdr:colOff>
      <xdr:row>0</xdr:row>
      <xdr:rowOff>0</xdr:rowOff>
    </xdr:to>
    <xdr:pic>
      <xdr:nvPicPr>
        <xdr:cNvPr id="2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514350</xdr:colOff>
      <xdr:row>0</xdr:row>
      <xdr:rowOff>0</xdr:rowOff>
    </xdr:to>
    <xdr:pic>
      <xdr:nvPicPr>
        <xdr:cNvPr id="3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4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5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7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8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9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1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2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3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5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58</xdr:row>
      <xdr:rowOff>57150</xdr:rowOff>
    </xdr:from>
    <xdr:to>
      <xdr:col>1</xdr:col>
      <xdr:colOff>314325</xdr:colOff>
      <xdr:row>61</xdr:row>
      <xdr:rowOff>142875</xdr:rowOff>
    </xdr:to>
    <xdr:pic>
      <xdr:nvPicPr>
        <xdr:cNvPr id="16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84885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122</xdr:row>
      <xdr:rowOff>57150</xdr:rowOff>
    </xdr:from>
    <xdr:to>
      <xdr:col>1</xdr:col>
      <xdr:colOff>314325</xdr:colOff>
      <xdr:row>125</xdr:row>
      <xdr:rowOff>142875</xdr:rowOff>
    </xdr:to>
    <xdr:pic>
      <xdr:nvPicPr>
        <xdr:cNvPr id="17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691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171450</xdr:colOff>
      <xdr:row>5</xdr:row>
      <xdr:rowOff>0</xdr:rowOff>
    </xdr:to>
    <xdr:pic>
      <xdr:nvPicPr>
        <xdr:cNvPr id="18" name="Picture 14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122</xdr:row>
      <xdr:rowOff>57150</xdr:rowOff>
    </xdr:from>
    <xdr:to>
      <xdr:col>1</xdr:col>
      <xdr:colOff>314325</xdr:colOff>
      <xdr:row>125</xdr:row>
      <xdr:rowOff>142875</xdr:rowOff>
    </xdr:to>
    <xdr:pic>
      <xdr:nvPicPr>
        <xdr:cNvPr id="19" name="Picture 25" descr="IVA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4691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hyperlink" Target="http://www.ivanj.net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hyperlink" Target="http://www.ivanj.net/" TargetMode="External" /><Relationship Id="rId4" Type="http://schemas.openxmlformats.org/officeDocument/2006/relationships/hyperlink" Target="http://www.ivanj.net/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hyperlink" Target="http://www.ivanj.net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nj.ne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83"/>
  <sheetViews>
    <sheetView zoomScalePageLayoutView="0" workbookViewId="0" topLeftCell="A19">
      <selection activeCell="K23" sqref="K23"/>
    </sheetView>
  </sheetViews>
  <sheetFormatPr defaultColWidth="9.140625" defaultRowHeight="12.75"/>
  <cols>
    <col min="1" max="1" width="8.00390625" style="34" customWidth="1"/>
    <col min="2" max="3" width="9.140625" style="34" customWidth="1"/>
    <col min="4" max="4" width="15.8515625" style="34" customWidth="1"/>
    <col min="5" max="5" width="13.7109375" style="34" bestFit="1" customWidth="1"/>
    <col min="6" max="6" width="16.7109375" style="34" customWidth="1"/>
    <col min="7" max="8" width="9.140625" style="34" customWidth="1"/>
    <col min="9" max="9" width="8.140625" style="34" bestFit="1" customWidth="1"/>
    <col min="10" max="16384" width="9.140625" style="34" customWidth="1"/>
  </cols>
  <sheetData>
    <row r="1" spans="2:6" ht="13.5">
      <c r="B1" s="35" t="s">
        <v>166</v>
      </c>
      <c r="F1" s="34" t="s">
        <v>167</v>
      </c>
    </row>
    <row r="2" spans="2:3" ht="13.5">
      <c r="B2" s="37" t="s">
        <v>33</v>
      </c>
      <c r="C2" s="34" t="s">
        <v>218</v>
      </c>
    </row>
    <row r="3" spans="1:3" ht="13.5">
      <c r="A3" s="162"/>
      <c r="B3" s="37" t="s">
        <v>34</v>
      </c>
      <c r="C3" s="34" t="s">
        <v>219</v>
      </c>
    </row>
    <row r="4" spans="2:3" ht="18">
      <c r="B4" s="38" t="s">
        <v>35</v>
      </c>
      <c r="C4" s="34" t="s">
        <v>220</v>
      </c>
    </row>
    <row r="5" spans="3:8" ht="13.5">
      <c r="C5" s="34" t="s">
        <v>378</v>
      </c>
      <c r="H5" s="79"/>
    </row>
    <row r="6" spans="1:5" ht="16.5">
      <c r="A6" s="163"/>
      <c r="D6" s="79"/>
      <c r="E6" s="79"/>
    </row>
    <row r="12" spans="2:7" ht="19.5">
      <c r="B12" s="164" t="s">
        <v>374</v>
      </c>
      <c r="C12" s="164"/>
      <c r="D12" s="164"/>
      <c r="E12" s="164"/>
      <c r="F12" s="164"/>
      <c r="G12" s="164"/>
    </row>
    <row r="15" spans="3:5" ht="13.5">
      <c r="C15" s="40"/>
      <c r="D15" s="41"/>
      <c r="E15" s="41"/>
    </row>
    <row r="16" spans="3:5" ht="13.5">
      <c r="C16" s="40"/>
      <c r="D16" s="41"/>
      <c r="E16" s="41"/>
    </row>
    <row r="17" spans="3:5" ht="13.5">
      <c r="C17" s="40"/>
      <c r="D17" s="41"/>
      <c r="E17" s="41"/>
    </row>
    <row r="18" spans="3:5" ht="13.5">
      <c r="C18" s="40"/>
      <c r="D18" s="41"/>
      <c r="E18" s="41"/>
    </row>
    <row r="19" spans="3:5" ht="13.5">
      <c r="C19" s="40"/>
      <c r="D19" s="41"/>
      <c r="E19" s="41"/>
    </row>
    <row r="20" spans="3:4" ht="13.5">
      <c r="C20" s="40"/>
      <c r="D20" s="41"/>
    </row>
    <row r="21" spans="3:4" ht="13.5">
      <c r="C21" s="40"/>
      <c r="D21" s="41"/>
    </row>
    <row r="22" spans="3:4" ht="13.5">
      <c r="C22" s="40"/>
      <c r="D22" s="41"/>
    </row>
    <row r="23" spans="3:4" ht="13.5">
      <c r="C23" s="40"/>
      <c r="D23" s="41"/>
    </row>
    <row r="24" spans="3:4" ht="13.5">
      <c r="C24" s="40"/>
      <c r="D24" s="41"/>
    </row>
    <row r="25" spans="3:4" ht="13.5">
      <c r="C25" s="40"/>
      <c r="D25" s="41"/>
    </row>
    <row r="26" spans="3:4" ht="13.5">
      <c r="C26" s="40"/>
      <c r="D26" s="41"/>
    </row>
    <row r="27" spans="3:4" ht="13.5">
      <c r="C27" s="40"/>
      <c r="D27" s="41"/>
    </row>
    <row r="28" spans="3:4" ht="13.5">
      <c r="C28" s="40"/>
      <c r="D28" s="41"/>
    </row>
    <row r="37" spans="2:5" ht="13.5">
      <c r="B37" s="34" t="s">
        <v>383</v>
      </c>
      <c r="E37" s="41"/>
    </row>
    <row r="40" ht="14.25" thickBot="1"/>
    <row r="41" spans="2:7" ht="13.5">
      <c r="B41" s="214" t="s">
        <v>375</v>
      </c>
      <c r="C41" s="215"/>
      <c r="D41" s="215"/>
      <c r="E41" s="216"/>
      <c r="F41" s="217">
        <f>+'Prihodi-dijagrami-2013'!F32</f>
        <v>17400917</v>
      </c>
      <c r="G41" s="218" t="s">
        <v>82</v>
      </c>
    </row>
    <row r="42" spans="2:7" ht="14.25" thickBot="1">
      <c r="B42" s="219" t="s">
        <v>376</v>
      </c>
      <c r="C42" s="220"/>
      <c r="D42" s="220"/>
      <c r="E42" s="221"/>
      <c r="F42" s="222">
        <f>+'Rashodi-rekapit.-analitika'!E34</f>
        <v>17383358.5955</v>
      </c>
      <c r="G42" s="223" t="s">
        <v>82</v>
      </c>
    </row>
    <row r="43" ht="14.25" thickBot="1"/>
    <row r="44" spans="2:7" ht="14.25" thickBot="1">
      <c r="B44" s="165" t="s">
        <v>377</v>
      </c>
      <c r="C44" s="165"/>
      <c r="D44" s="166"/>
      <c r="E44" s="167"/>
      <c r="F44" s="168">
        <f>F41-F42</f>
        <v>17558.40450000018</v>
      </c>
      <c r="G44" s="167" t="s">
        <v>82</v>
      </c>
    </row>
    <row r="51" ht="13.5">
      <c r="A51" s="34" t="s">
        <v>91</v>
      </c>
    </row>
    <row r="52" ht="13.5">
      <c r="A52" s="34" t="s">
        <v>128</v>
      </c>
    </row>
    <row r="54" ht="13.5">
      <c r="A54" s="34" t="s">
        <v>203</v>
      </c>
    </row>
    <row r="55" ht="13.5">
      <c r="A55" s="34" t="s">
        <v>206</v>
      </c>
    </row>
    <row r="58" ht="13.5">
      <c r="D58" s="60"/>
    </row>
    <row r="61" ht="14.25" thickBot="1"/>
    <row r="62" spans="8:15" ht="13.5">
      <c r="H62" s="583" t="s">
        <v>32</v>
      </c>
      <c r="I62" s="583" t="s">
        <v>32</v>
      </c>
      <c r="J62" s="583" t="s">
        <v>32</v>
      </c>
      <c r="K62" s="583" t="s">
        <v>32</v>
      </c>
      <c r="L62" s="584" t="s">
        <v>32</v>
      </c>
      <c r="M62" s="585" t="s">
        <v>32</v>
      </c>
      <c r="N62" s="585" t="s">
        <v>32</v>
      </c>
      <c r="O62" s="585" t="s">
        <v>32</v>
      </c>
    </row>
    <row r="63" spans="8:15" ht="13.5">
      <c r="H63" s="586" t="s">
        <v>130</v>
      </c>
      <c r="I63" s="586" t="s">
        <v>129</v>
      </c>
      <c r="J63" s="587" t="s">
        <v>153</v>
      </c>
      <c r="K63" s="587" t="s">
        <v>189</v>
      </c>
      <c r="L63" s="587" t="s">
        <v>204</v>
      </c>
      <c r="M63" s="588" t="s">
        <v>214</v>
      </c>
      <c r="N63" s="588" t="s">
        <v>221</v>
      </c>
      <c r="O63" s="588" t="s">
        <v>363</v>
      </c>
    </row>
    <row r="64" spans="8:15" ht="13.5">
      <c r="H64" s="589"/>
      <c r="I64" s="589"/>
      <c r="J64" s="589"/>
      <c r="K64" s="589"/>
      <c r="L64" s="590"/>
      <c r="M64" s="590"/>
      <c r="N64" s="590"/>
      <c r="O64" s="591"/>
    </row>
    <row r="65" ht="13.5">
      <c r="O65" s="594">
        <f>+'Financijski plan-naslov-2017-OK'!K82</f>
        <v>0</v>
      </c>
    </row>
    <row r="71" spans="9:15" ht="13.5">
      <c r="I71" s="592">
        <v>17496000</v>
      </c>
      <c r="J71" s="593">
        <v>16377912</v>
      </c>
      <c r="K71" s="593">
        <v>16476536</v>
      </c>
      <c r="L71" s="593">
        <v>16754254</v>
      </c>
      <c r="M71" s="594">
        <v>13380717</v>
      </c>
      <c r="N71" s="594">
        <v>14382417</v>
      </c>
      <c r="O71" s="594">
        <v>14460262</v>
      </c>
    </row>
    <row r="72" spans="1:6" ht="13.5">
      <c r="A72" s="100"/>
      <c r="B72" s="100"/>
      <c r="C72" s="647"/>
      <c r="D72" s="100"/>
      <c r="E72" s="100"/>
      <c r="F72" s="100"/>
    </row>
    <row r="73" spans="1:6" ht="13.5">
      <c r="A73" s="100"/>
      <c r="B73" s="100"/>
      <c r="C73" s="647" t="s">
        <v>90</v>
      </c>
      <c r="D73" s="648">
        <v>18961000</v>
      </c>
      <c r="E73" s="100"/>
      <c r="F73" s="100"/>
    </row>
    <row r="74" spans="1:6" ht="13.5">
      <c r="A74" s="100"/>
      <c r="B74" s="100"/>
      <c r="C74" s="647" t="s">
        <v>129</v>
      </c>
      <c r="D74" s="648">
        <v>17496000</v>
      </c>
      <c r="E74" s="100"/>
      <c r="F74" s="100"/>
    </row>
    <row r="75" spans="1:6" ht="13.5">
      <c r="A75" s="100"/>
      <c r="B75" s="100"/>
      <c r="C75" s="647" t="s">
        <v>153</v>
      </c>
      <c r="D75" s="648">
        <v>16377912</v>
      </c>
      <c r="E75" s="100"/>
      <c r="F75" s="100"/>
    </row>
    <row r="76" spans="1:6" ht="13.5">
      <c r="A76" s="100"/>
      <c r="B76" s="100"/>
      <c r="C76" s="647" t="s">
        <v>189</v>
      </c>
      <c r="D76" s="648">
        <v>16476536</v>
      </c>
      <c r="E76" s="100"/>
      <c r="F76" s="100"/>
    </row>
    <row r="77" spans="1:6" ht="13.5">
      <c r="A77" s="100"/>
      <c r="B77" s="100"/>
      <c r="C77" s="647" t="s">
        <v>204</v>
      </c>
      <c r="D77" s="648">
        <v>16754254</v>
      </c>
      <c r="E77" s="100"/>
      <c r="F77" s="100"/>
    </row>
    <row r="78" spans="1:6" ht="13.5">
      <c r="A78" s="100"/>
      <c r="B78" s="100"/>
      <c r="C78" s="647" t="s">
        <v>214</v>
      </c>
      <c r="D78" s="649">
        <v>13380717</v>
      </c>
      <c r="E78" s="100"/>
      <c r="F78" s="100"/>
    </row>
    <row r="79" spans="1:6" ht="13.5">
      <c r="A79" s="100"/>
      <c r="B79" s="100"/>
      <c r="C79" s="647" t="s">
        <v>221</v>
      </c>
      <c r="D79" s="649">
        <v>14382417</v>
      </c>
      <c r="E79" s="100"/>
      <c r="F79" s="100"/>
    </row>
    <row r="80" spans="1:6" ht="13.5">
      <c r="A80" s="100"/>
      <c r="B80" s="100"/>
      <c r="C80" s="647" t="s">
        <v>363</v>
      </c>
      <c r="D80" s="594">
        <v>14460262</v>
      </c>
      <c r="E80" s="100"/>
      <c r="F80" s="100"/>
    </row>
    <row r="81" spans="1:6" ht="13.5">
      <c r="A81" s="100"/>
      <c r="B81" s="100"/>
      <c r="C81" s="647" t="s">
        <v>382</v>
      </c>
      <c r="D81" s="142">
        <f>F41</f>
        <v>17400917</v>
      </c>
      <c r="E81" s="100"/>
      <c r="F81" s="100"/>
    </row>
    <row r="82" spans="1:6" ht="13.5">
      <c r="A82" s="100"/>
      <c r="B82" s="100"/>
      <c r="C82" s="100"/>
      <c r="D82" s="100"/>
      <c r="E82" s="100"/>
      <c r="F82" s="100"/>
    </row>
    <row r="83" spans="1:6" ht="13.5">
      <c r="A83" s="100"/>
      <c r="B83" s="100"/>
      <c r="C83" s="100"/>
      <c r="D83" s="100"/>
      <c r="E83" s="100"/>
      <c r="F83" s="100"/>
    </row>
  </sheetData>
  <sheetProtection/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371"/>
  <sheetViews>
    <sheetView zoomScalePageLayoutView="0" workbookViewId="0" topLeftCell="A79">
      <selection activeCell="C123" sqref="C123"/>
    </sheetView>
  </sheetViews>
  <sheetFormatPr defaultColWidth="8.8515625" defaultRowHeight="12.75"/>
  <cols>
    <col min="1" max="1" width="7.7109375" style="161" customWidth="1"/>
    <col min="2" max="2" width="36.28125" style="161" customWidth="1"/>
    <col min="3" max="3" width="14.57421875" style="161" customWidth="1"/>
    <col min="4" max="4" width="7.00390625" style="161" bestFit="1" customWidth="1"/>
    <col min="5" max="5" width="13.00390625" style="161" bestFit="1" customWidth="1"/>
    <col min="6" max="6" width="7.00390625" style="161" bestFit="1" customWidth="1"/>
    <col min="7" max="7" width="8.7109375" style="161" customWidth="1"/>
    <col min="8" max="16384" width="8.8515625" style="161" customWidth="1"/>
  </cols>
  <sheetData>
    <row r="1" spans="1:7" ht="13.5">
      <c r="A1" s="34"/>
      <c r="B1" s="35" t="s">
        <v>166</v>
      </c>
      <c r="C1" s="34"/>
      <c r="D1" s="34"/>
      <c r="E1" s="34"/>
      <c r="F1"/>
      <c r="G1" s="304" t="s">
        <v>346</v>
      </c>
    </row>
    <row r="2" spans="1:6" ht="13.5">
      <c r="A2" s="34"/>
      <c r="B2" s="37" t="s">
        <v>33</v>
      </c>
      <c r="C2" s="34" t="s">
        <v>218</v>
      </c>
      <c r="D2" s="34"/>
      <c r="E2" s="34"/>
      <c r="F2" s="45"/>
    </row>
    <row r="3" spans="1:6" ht="13.5">
      <c r="A3" s="162"/>
      <c r="B3" s="37" t="s">
        <v>34</v>
      </c>
      <c r="C3" s="34" t="s">
        <v>219</v>
      </c>
      <c r="D3" s="34"/>
      <c r="E3" s="34"/>
      <c r="F3" s="45"/>
    </row>
    <row r="4" spans="1:6" ht="18">
      <c r="A4" s="34"/>
      <c r="B4" s="38" t="s">
        <v>35</v>
      </c>
      <c r="C4" s="34" t="s">
        <v>220</v>
      </c>
      <c r="D4" s="34"/>
      <c r="E4" s="34"/>
      <c r="F4" s="51"/>
    </row>
    <row r="5" spans="1:6" ht="13.5">
      <c r="A5" s="34"/>
      <c r="B5" s="34"/>
      <c r="C5" s="34" t="s">
        <v>378</v>
      </c>
      <c r="D5" s="34"/>
      <c r="E5" s="34"/>
      <c r="F5" s="48"/>
    </row>
    <row r="6" spans="1:7" ht="12.75">
      <c r="A6" s="149"/>
      <c r="B6" s="124" t="s">
        <v>79</v>
      </c>
      <c r="C6" s="45"/>
      <c r="D6" s="45"/>
      <c r="E6" s="45"/>
      <c r="F6" s="48"/>
      <c r="G6" s="306"/>
    </row>
    <row r="7" spans="1:7" ht="12.75">
      <c r="A7" s="303"/>
      <c r="B7" s="307" t="s">
        <v>374</v>
      </c>
      <c r="C7" s="79"/>
      <c r="D7" s="79"/>
      <c r="E7" s="79"/>
      <c r="F7" s="306"/>
      <c r="G7" s="306"/>
    </row>
    <row r="8" spans="1:6" ht="12.75">
      <c r="A8" s="303"/>
      <c r="B8" s="302" t="s">
        <v>151</v>
      </c>
      <c r="C8" s="79"/>
      <c r="D8" s="79"/>
      <c r="E8" s="79"/>
      <c r="F8" s="303"/>
    </row>
    <row r="9" spans="1:6" ht="12.75">
      <c r="A9" s="303"/>
      <c r="B9" s="79"/>
      <c r="C9" s="79"/>
      <c r="D9" s="79"/>
      <c r="E9" s="79"/>
      <c r="F9" s="303"/>
    </row>
    <row r="10" spans="2:5" ht="13.5">
      <c r="B10" s="84" t="s">
        <v>81</v>
      </c>
      <c r="C10" s="79"/>
      <c r="D10" s="79"/>
      <c r="E10" s="79"/>
    </row>
    <row r="11" spans="1:7" ht="11.25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</row>
    <row r="12" ht="12" thickBot="1">
      <c r="D12" s="122"/>
    </row>
    <row r="13" spans="1:7" ht="13.5">
      <c r="A13" s="302"/>
      <c r="B13" s="309" t="s">
        <v>7</v>
      </c>
      <c r="C13" s="310" t="s">
        <v>365</v>
      </c>
      <c r="D13" s="537" t="s">
        <v>28</v>
      </c>
      <c r="E13" s="643" t="s">
        <v>380</v>
      </c>
      <c r="F13" s="538" t="s">
        <v>28</v>
      </c>
      <c r="G13" s="394" t="s">
        <v>13</v>
      </c>
    </row>
    <row r="14" spans="3:7" ht="12" thickBot="1">
      <c r="C14" s="204" t="s">
        <v>16</v>
      </c>
      <c r="D14" s="539" t="s">
        <v>15</v>
      </c>
      <c r="E14" s="204" t="s">
        <v>16</v>
      </c>
      <c r="F14" s="540" t="s">
        <v>15</v>
      </c>
      <c r="G14" s="541" t="s">
        <v>40</v>
      </c>
    </row>
    <row r="15" spans="1:7" ht="12" thickBot="1">
      <c r="A15" s="79"/>
      <c r="B15" s="79"/>
      <c r="C15" s="175"/>
      <c r="D15" s="79"/>
      <c r="E15" s="175"/>
      <c r="F15" s="79"/>
      <c r="G15" s="148"/>
    </row>
    <row r="16" spans="1:7" ht="11.25">
      <c r="A16" s="79" t="s">
        <v>222</v>
      </c>
      <c r="B16" s="79"/>
      <c r="C16" s="566">
        <v>190000</v>
      </c>
      <c r="D16" s="360">
        <f>$C16/$C$178*100</f>
        <v>9.32967969982001</v>
      </c>
      <c r="E16" s="536">
        <v>180000</v>
      </c>
      <c r="F16" s="360">
        <f>$E16/$E$178*100</f>
        <v>8.971729009768602</v>
      </c>
      <c r="G16" s="386">
        <f>E16/C16*100</f>
        <v>94.73684210526315</v>
      </c>
    </row>
    <row r="17" spans="1:7" ht="11.25">
      <c r="A17" s="79" t="s">
        <v>388</v>
      </c>
      <c r="B17" s="79"/>
      <c r="C17" s="346"/>
      <c r="D17" s="361"/>
      <c r="E17" s="511"/>
      <c r="F17" s="361"/>
      <c r="G17" s="387"/>
    </row>
    <row r="18" spans="1:8" ht="13.5">
      <c r="A18" s="79" t="s">
        <v>223</v>
      </c>
      <c r="B18" s="79"/>
      <c r="C18" s="319">
        <v>240000</v>
      </c>
      <c r="D18" s="361">
        <f aca="true" t="shared" si="0" ref="D18:D37">$C18/$C$178*100</f>
        <v>11.784858568193698</v>
      </c>
      <c r="E18" s="329">
        <v>220000</v>
      </c>
      <c r="F18" s="361">
        <f aca="true" t="shared" si="1" ref="F18:F37">$E18/$E$178*100</f>
        <v>10.96544656749496</v>
      </c>
      <c r="G18" s="387">
        <f aca="true" t="shared" si="2" ref="G18:G37">E18/C18*100</f>
        <v>91.66666666666666</v>
      </c>
      <c r="H18" s="60"/>
    </row>
    <row r="19" spans="1:8" ht="13.5">
      <c r="A19" s="79" t="s">
        <v>224</v>
      </c>
      <c r="B19" s="79"/>
      <c r="C19" s="319">
        <v>3000</v>
      </c>
      <c r="D19" s="361">
        <f t="shared" si="0"/>
        <v>0.1473107321024212</v>
      </c>
      <c r="E19" s="329">
        <v>3000</v>
      </c>
      <c r="F19" s="361">
        <f t="shared" si="1"/>
        <v>0.1495288168294767</v>
      </c>
      <c r="G19" s="387">
        <f t="shared" si="2"/>
        <v>100</v>
      </c>
      <c r="H19" s="60"/>
    </row>
    <row r="20" spans="1:8" ht="13.5">
      <c r="A20" s="79" t="s">
        <v>240</v>
      </c>
      <c r="B20" s="79"/>
      <c r="C20" s="319"/>
      <c r="D20" s="361">
        <f t="shared" si="0"/>
        <v>0</v>
      </c>
      <c r="E20" s="329"/>
      <c r="F20" s="361">
        <f t="shared" si="1"/>
        <v>0</v>
      </c>
      <c r="G20" s="387" t="e">
        <f t="shared" si="2"/>
        <v>#DIV/0!</v>
      </c>
      <c r="H20" s="60"/>
    </row>
    <row r="21" spans="1:8" ht="13.5">
      <c r="A21" s="79" t="s">
        <v>225</v>
      </c>
      <c r="B21" s="79"/>
      <c r="C21" s="319"/>
      <c r="D21" s="361">
        <f t="shared" si="0"/>
        <v>0</v>
      </c>
      <c r="E21" s="329"/>
      <c r="F21" s="361">
        <f t="shared" si="1"/>
        <v>0</v>
      </c>
      <c r="G21" s="387" t="e">
        <f t="shared" si="2"/>
        <v>#DIV/0!</v>
      </c>
      <c r="H21" s="60"/>
    </row>
    <row r="22" spans="1:8" ht="13.5">
      <c r="A22" s="79" t="s">
        <v>226</v>
      </c>
      <c r="B22" s="79"/>
      <c r="C22" s="319">
        <v>15000</v>
      </c>
      <c r="D22" s="361">
        <f t="shared" si="0"/>
        <v>0.7365536605121061</v>
      </c>
      <c r="E22" s="329">
        <v>15000</v>
      </c>
      <c r="F22" s="361">
        <f t="shared" si="1"/>
        <v>0.7476440841473835</v>
      </c>
      <c r="G22" s="387">
        <f t="shared" si="2"/>
        <v>100</v>
      </c>
      <c r="H22" s="60"/>
    </row>
    <row r="23" spans="1:8" ht="13.5">
      <c r="A23" s="79" t="s">
        <v>227</v>
      </c>
      <c r="B23" s="79"/>
      <c r="C23" s="319"/>
      <c r="D23" s="361">
        <f t="shared" si="0"/>
        <v>0</v>
      </c>
      <c r="E23" s="329"/>
      <c r="F23" s="361">
        <f t="shared" si="1"/>
        <v>0</v>
      </c>
      <c r="G23" s="387" t="e">
        <f t="shared" si="2"/>
        <v>#DIV/0!</v>
      </c>
      <c r="H23" s="60"/>
    </row>
    <row r="24" spans="1:8" ht="13.5">
      <c r="A24" s="79" t="s">
        <v>228</v>
      </c>
      <c r="B24" s="79"/>
      <c r="C24" s="319"/>
      <c r="D24" s="361">
        <f t="shared" si="0"/>
        <v>0</v>
      </c>
      <c r="E24" s="329"/>
      <c r="F24" s="361">
        <f t="shared" si="1"/>
        <v>0</v>
      </c>
      <c r="G24" s="387" t="e">
        <f t="shared" si="2"/>
        <v>#DIV/0!</v>
      </c>
      <c r="H24" s="60"/>
    </row>
    <row r="25" spans="1:8" ht="13.5">
      <c r="A25" s="79" t="s">
        <v>229</v>
      </c>
      <c r="B25" s="79"/>
      <c r="C25" s="319"/>
      <c r="D25" s="361">
        <f t="shared" si="0"/>
        <v>0</v>
      </c>
      <c r="E25" s="329"/>
      <c r="F25" s="361">
        <f t="shared" si="1"/>
        <v>0</v>
      </c>
      <c r="G25" s="387" t="e">
        <f t="shared" si="2"/>
        <v>#DIV/0!</v>
      </c>
      <c r="H25" s="60"/>
    </row>
    <row r="26" spans="1:8" ht="13.5">
      <c r="A26" s="79" t="s">
        <v>230</v>
      </c>
      <c r="B26" s="79"/>
      <c r="C26" s="319"/>
      <c r="D26" s="361">
        <f t="shared" si="0"/>
        <v>0</v>
      </c>
      <c r="E26" s="329"/>
      <c r="F26" s="361">
        <f t="shared" si="1"/>
        <v>0</v>
      </c>
      <c r="G26" s="387" t="e">
        <f t="shared" si="2"/>
        <v>#DIV/0!</v>
      </c>
      <c r="H26" s="60"/>
    </row>
    <row r="27" spans="1:8" ht="13.5">
      <c r="A27" s="79" t="s">
        <v>231</v>
      </c>
      <c r="B27" s="79"/>
      <c r="C27" s="319">
        <v>10000</v>
      </c>
      <c r="D27" s="361">
        <f t="shared" si="0"/>
        <v>0.4910357736747374</v>
      </c>
      <c r="E27" s="329">
        <v>10000</v>
      </c>
      <c r="F27" s="361">
        <f t="shared" si="1"/>
        <v>0.49842938943158904</v>
      </c>
      <c r="G27" s="387">
        <f t="shared" si="2"/>
        <v>100</v>
      </c>
      <c r="H27" s="60"/>
    </row>
    <row r="28" spans="1:8" ht="13.5">
      <c r="A28" s="79" t="s">
        <v>372</v>
      </c>
      <c r="B28" s="79"/>
      <c r="C28" s="319">
        <v>30000</v>
      </c>
      <c r="D28" s="361">
        <f t="shared" si="0"/>
        <v>1.4731073210242123</v>
      </c>
      <c r="E28" s="329">
        <v>30000</v>
      </c>
      <c r="F28" s="361">
        <f t="shared" si="1"/>
        <v>1.495288168294767</v>
      </c>
      <c r="G28" s="387">
        <f t="shared" si="2"/>
        <v>100</v>
      </c>
      <c r="H28" s="60"/>
    </row>
    <row r="29" spans="1:8" ht="13.5">
      <c r="A29" s="79" t="s">
        <v>232</v>
      </c>
      <c r="B29" s="79"/>
      <c r="C29" s="319">
        <v>15000</v>
      </c>
      <c r="D29" s="361">
        <f t="shared" si="0"/>
        <v>0.7365536605121061</v>
      </c>
      <c r="E29" s="329">
        <v>15000</v>
      </c>
      <c r="F29" s="361">
        <f t="shared" si="1"/>
        <v>0.7476440841473835</v>
      </c>
      <c r="G29" s="387">
        <f t="shared" si="2"/>
        <v>100</v>
      </c>
      <c r="H29" s="60"/>
    </row>
    <row r="30" spans="1:8" ht="13.5">
      <c r="A30" s="79" t="s">
        <v>233</v>
      </c>
      <c r="B30" s="79"/>
      <c r="C30" s="314"/>
      <c r="D30" s="361">
        <f t="shared" si="0"/>
        <v>0</v>
      </c>
      <c r="E30" s="333"/>
      <c r="F30" s="361">
        <f t="shared" si="1"/>
        <v>0</v>
      </c>
      <c r="G30" s="387" t="e">
        <f t="shared" si="2"/>
        <v>#DIV/0!</v>
      </c>
      <c r="H30" s="60"/>
    </row>
    <row r="31" spans="1:8" ht="14.25" thickBot="1">
      <c r="A31" s="79" t="s">
        <v>234</v>
      </c>
      <c r="B31" s="79"/>
      <c r="C31" s="314"/>
      <c r="D31" s="361">
        <f t="shared" si="0"/>
        <v>0</v>
      </c>
      <c r="E31" s="333"/>
      <c r="F31" s="361">
        <f t="shared" si="1"/>
        <v>0</v>
      </c>
      <c r="G31" s="387" t="e">
        <f t="shared" si="2"/>
        <v>#DIV/0!</v>
      </c>
      <c r="H31" s="60"/>
    </row>
    <row r="32" spans="1:9" ht="14.25" thickBot="1">
      <c r="A32" s="79" t="s">
        <v>235</v>
      </c>
      <c r="B32" s="79"/>
      <c r="C32" s="314">
        <v>5000</v>
      </c>
      <c r="D32" s="361">
        <f t="shared" si="0"/>
        <v>0.2455178868373687</v>
      </c>
      <c r="E32" s="333">
        <v>5000</v>
      </c>
      <c r="F32" s="361">
        <f t="shared" si="1"/>
        <v>0.24921469471579452</v>
      </c>
      <c r="G32" s="387">
        <f t="shared" si="2"/>
        <v>100</v>
      </c>
      <c r="H32" s="60"/>
      <c r="I32" s="317"/>
    </row>
    <row r="33" spans="1:8" ht="13.5">
      <c r="A33" s="79" t="s">
        <v>236</v>
      </c>
      <c r="B33" s="79"/>
      <c r="C33" s="314">
        <v>17000</v>
      </c>
      <c r="D33" s="361">
        <f t="shared" si="0"/>
        <v>0.8347608152470536</v>
      </c>
      <c r="E33" s="333">
        <v>17000</v>
      </c>
      <c r="F33" s="361">
        <f t="shared" si="1"/>
        <v>0.8473299620337013</v>
      </c>
      <c r="G33" s="387">
        <f t="shared" si="2"/>
        <v>100</v>
      </c>
      <c r="H33" s="60"/>
    </row>
    <row r="34" spans="1:8" ht="13.5">
      <c r="A34" s="79" t="s">
        <v>237</v>
      </c>
      <c r="B34" s="79"/>
      <c r="C34" s="314">
        <v>30000</v>
      </c>
      <c r="D34" s="361">
        <f t="shared" si="0"/>
        <v>1.4731073210242123</v>
      </c>
      <c r="E34" s="333">
        <v>30000</v>
      </c>
      <c r="F34" s="361">
        <f t="shared" si="1"/>
        <v>1.495288168294767</v>
      </c>
      <c r="G34" s="387">
        <f t="shared" si="2"/>
        <v>100</v>
      </c>
      <c r="H34" s="60"/>
    </row>
    <row r="35" spans="1:8" ht="13.5">
      <c r="A35" s="79" t="s">
        <v>238</v>
      </c>
      <c r="B35" s="79"/>
      <c r="C35" s="314"/>
      <c r="D35" s="361">
        <f t="shared" si="0"/>
        <v>0</v>
      </c>
      <c r="E35" s="333"/>
      <c r="F35" s="361">
        <f t="shared" si="1"/>
        <v>0</v>
      </c>
      <c r="G35" s="387" t="e">
        <f t="shared" si="2"/>
        <v>#DIV/0!</v>
      </c>
      <c r="H35" s="60"/>
    </row>
    <row r="36" spans="1:7" ht="12" thickBot="1">
      <c r="A36" s="79" t="s">
        <v>239</v>
      </c>
      <c r="B36" s="79"/>
      <c r="C36" s="315"/>
      <c r="D36" s="362">
        <f t="shared" si="0"/>
        <v>0</v>
      </c>
      <c r="E36" s="522"/>
      <c r="F36" s="362">
        <f t="shared" si="1"/>
        <v>0</v>
      </c>
      <c r="G36" s="388" t="e">
        <f t="shared" si="2"/>
        <v>#DIV/0!</v>
      </c>
    </row>
    <row r="37" spans="1:7" ht="12" thickBot="1">
      <c r="A37" s="302">
        <v>40</v>
      </c>
      <c r="B37" s="316" t="s">
        <v>12</v>
      </c>
      <c r="C37" s="334">
        <f>+SUM(C16:C36)</f>
        <v>555000</v>
      </c>
      <c r="D37" s="362">
        <f t="shared" si="0"/>
        <v>27.252485438947925</v>
      </c>
      <c r="E37" s="502">
        <f>+SUM(E16:E36)</f>
        <v>525000</v>
      </c>
      <c r="F37" s="362">
        <f t="shared" si="1"/>
        <v>26.167542945158424</v>
      </c>
      <c r="G37" s="388">
        <f t="shared" si="2"/>
        <v>94.5945945945946</v>
      </c>
    </row>
    <row r="38" spans="1:7" ht="12" thickBot="1">
      <c r="A38" s="302"/>
      <c r="B38" s="302"/>
      <c r="C38" s="318"/>
      <c r="D38" s="187"/>
      <c r="E38" s="318"/>
      <c r="F38" s="187"/>
      <c r="G38" s="313"/>
    </row>
    <row r="39" spans="1:8" ht="13.5">
      <c r="A39" s="79" t="s">
        <v>241</v>
      </c>
      <c r="B39" s="312"/>
      <c r="C39" s="566">
        <v>1500</v>
      </c>
      <c r="D39" s="360">
        <f aca="true" t="shared" si="3" ref="D39:D57">$C39/$C$178*100</f>
        <v>0.0736553660512106</v>
      </c>
      <c r="E39" s="536">
        <v>1500</v>
      </c>
      <c r="F39" s="360">
        <f aca="true" t="shared" si="4" ref="F39:F57">$E39/$E$178*100</f>
        <v>0.07476440841473835</v>
      </c>
      <c r="G39" s="383">
        <f aca="true" t="shared" si="5" ref="G39:G57">E39/C39*100</f>
        <v>100</v>
      </c>
      <c r="H39" s="60">
        <v>4101</v>
      </c>
    </row>
    <row r="40" spans="1:8" ht="13.5">
      <c r="A40" s="79" t="s">
        <v>242</v>
      </c>
      <c r="B40" s="312"/>
      <c r="C40" s="314">
        <v>7000</v>
      </c>
      <c r="D40" s="361">
        <f t="shared" si="3"/>
        <v>0.3437250415723162</v>
      </c>
      <c r="E40" s="333">
        <v>7000</v>
      </c>
      <c r="F40" s="361">
        <f t="shared" si="4"/>
        <v>0.34890057260211227</v>
      </c>
      <c r="G40" s="384">
        <f t="shared" si="5"/>
        <v>100</v>
      </c>
      <c r="H40" s="60">
        <v>4105</v>
      </c>
    </row>
    <row r="41" spans="1:8" ht="13.5">
      <c r="A41" s="79" t="s">
        <v>243</v>
      </c>
      <c r="B41" s="312"/>
      <c r="C41" s="314"/>
      <c r="D41" s="361">
        <f t="shared" si="3"/>
        <v>0</v>
      </c>
      <c r="E41" s="333"/>
      <c r="F41" s="361">
        <f t="shared" si="4"/>
        <v>0</v>
      </c>
      <c r="G41" s="384" t="e">
        <f t="shared" si="5"/>
        <v>#DIV/0!</v>
      </c>
      <c r="H41" s="60">
        <v>41051</v>
      </c>
    </row>
    <row r="42" spans="1:8" ht="13.5">
      <c r="A42" s="79" t="s">
        <v>244</v>
      </c>
      <c r="B42" s="312"/>
      <c r="C42" s="314">
        <v>12000</v>
      </c>
      <c r="D42" s="361">
        <f t="shared" si="3"/>
        <v>0.5892429284096848</v>
      </c>
      <c r="E42" s="333">
        <v>12000</v>
      </c>
      <c r="F42" s="361">
        <f t="shared" si="4"/>
        <v>0.5981152673179068</v>
      </c>
      <c r="G42" s="384">
        <f t="shared" si="5"/>
        <v>100</v>
      </c>
      <c r="H42" s="60">
        <v>4120</v>
      </c>
    </row>
    <row r="43" spans="1:8" ht="13.5">
      <c r="A43" s="79" t="s">
        <v>245</v>
      </c>
      <c r="B43" s="312"/>
      <c r="C43" s="314"/>
      <c r="D43" s="361">
        <f t="shared" si="3"/>
        <v>0</v>
      </c>
      <c r="E43" s="333"/>
      <c r="F43" s="361">
        <f t="shared" si="4"/>
        <v>0</v>
      </c>
      <c r="G43" s="384" t="e">
        <f t="shared" si="5"/>
        <v>#DIV/0!</v>
      </c>
      <c r="H43" s="60">
        <v>4121</v>
      </c>
    </row>
    <row r="44" spans="1:8" ht="13.5">
      <c r="A44" s="79" t="s">
        <v>246</v>
      </c>
      <c r="B44" s="312"/>
      <c r="C44" s="314"/>
      <c r="D44" s="361">
        <f t="shared" si="3"/>
        <v>0</v>
      </c>
      <c r="E44" s="333"/>
      <c r="F44" s="361">
        <f t="shared" si="4"/>
        <v>0</v>
      </c>
      <c r="G44" s="384" t="e">
        <f t="shared" si="5"/>
        <v>#DIV/0!</v>
      </c>
      <c r="H44" s="60">
        <v>4128</v>
      </c>
    </row>
    <row r="45" spans="1:8" ht="13.5">
      <c r="A45" s="79" t="s">
        <v>247</v>
      </c>
      <c r="B45" s="312"/>
      <c r="C45" s="314"/>
      <c r="D45" s="361">
        <f t="shared" si="3"/>
        <v>0</v>
      </c>
      <c r="E45" s="333"/>
      <c r="F45" s="361">
        <f t="shared" si="4"/>
        <v>0</v>
      </c>
      <c r="G45" s="384" t="e">
        <f t="shared" si="5"/>
        <v>#DIV/0!</v>
      </c>
      <c r="H45" s="60">
        <v>4137</v>
      </c>
    </row>
    <row r="46" spans="1:8" ht="13.5">
      <c r="A46" s="79" t="s">
        <v>248</v>
      </c>
      <c r="B46" s="312"/>
      <c r="C46" s="314"/>
      <c r="D46" s="361">
        <f t="shared" si="3"/>
        <v>0</v>
      </c>
      <c r="E46" s="333"/>
      <c r="F46" s="361">
        <f t="shared" si="4"/>
        <v>0</v>
      </c>
      <c r="G46" s="384" t="e">
        <f t="shared" si="5"/>
        <v>#DIV/0!</v>
      </c>
      <c r="H46" s="60">
        <v>4140</v>
      </c>
    </row>
    <row r="47" spans="1:8" ht="13.5">
      <c r="A47" s="79" t="s">
        <v>249</v>
      </c>
      <c r="B47" s="312"/>
      <c r="C47" s="314"/>
      <c r="D47" s="361">
        <f t="shared" si="3"/>
        <v>0</v>
      </c>
      <c r="E47" s="333"/>
      <c r="F47" s="361">
        <f t="shared" si="4"/>
        <v>0</v>
      </c>
      <c r="G47" s="384" t="e">
        <f t="shared" si="5"/>
        <v>#DIV/0!</v>
      </c>
      <c r="H47" s="60">
        <v>4150</v>
      </c>
    </row>
    <row r="48" spans="1:8" ht="13.5">
      <c r="A48" s="79" t="s">
        <v>250</v>
      </c>
      <c r="B48" s="312"/>
      <c r="C48" s="314">
        <v>6000</v>
      </c>
      <c r="D48" s="361">
        <f t="shared" si="3"/>
        <v>0.2946214642048424</v>
      </c>
      <c r="E48" s="333">
        <v>6000</v>
      </c>
      <c r="F48" s="361">
        <f t="shared" si="4"/>
        <v>0.2990576336589534</v>
      </c>
      <c r="G48" s="384">
        <f t="shared" si="5"/>
        <v>100</v>
      </c>
      <c r="H48" s="60"/>
    </row>
    <row r="49" spans="1:8" ht="13.5">
      <c r="A49" s="79" t="s">
        <v>251</v>
      </c>
      <c r="B49" s="312"/>
      <c r="C49" s="319"/>
      <c r="D49" s="361">
        <f t="shared" si="3"/>
        <v>0</v>
      </c>
      <c r="E49" s="329"/>
      <c r="F49" s="361">
        <f t="shared" si="4"/>
        <v>0</v>
      </c>
      <c r="G49" s="384" t="e">
        <f t="shared" si="5"/>
        <v>#DIV/0!</v>
      </c>
      <c r="H49" s="412">
        <v>4161</v>
      </c>
    </row>
    <row r="50" spans="1:8" ht="13.5">
      <c r="A50" s="79" t="s">
        <v>252</v>
      </c>
      <c r="B50" s="312"/>
      <c r="C50" s="319"/>
      <c r="D50" s="361">
        <f t="shared" si="3"/>
        <v>0</v>
      </c>
      <c r="E50" s="329"/>
      <c r="F50" s="361">
        <f t="shared" si="4"/>
        <v>0</v>
      </c>
      <c r="G50" s="384" t="e">
        <f t="shared" si="5"/>
        <v>#DIV/0!</v>
      </c>
      <c r="H50" s="60">
        <v>4166</v>
      </c>
    </row>
    <row r="51" spans="1:8" ht="13.5">
      <c r="A51" s="79" t="s">
        <v>253</v>
      </c>
      <c r="B51" s="312"/>
      <c r="C51" s="314"/>
      <c r="D51" s="361">
        <f t="shared" si="3"/>
        <v>0</v>
      </c>
      <c r="E51" s="333"/>
      <c r="F51" s="361">
        <f t="shared" si="4"/>
        <v>0</v>
      </c>
      <c r="G51" s="384" t="e">
        <f t="shared" si="5"/>
        <v>#DIV/0!</v>
      </c>
      <c r="H51" s="60">
        <v>4167</v>
      </c>
    </row>
    <row r="52" spans="1:8" ht="13.5">
      <c r="A52" s="79" t="s">
        <v>254</v>
      </c>
      <c r="B52" s="312"/>
      <c r="C52" s="314"/>
      <c r="D52" s="361">
        <f t="shared" si="3"/>
        <v>0</v>
      </c>
      <c r="E52" s="333"/>
      <c r="F52" s="361">
        <f t="shared" si="4"/>
        <v>0</v>
      </c>
      <c r="G52" s="384" t="e">
        <f t="shared" si="5"/>
        <v>#DIV/0!</v>
      </c>
      <c r="H52" s="60">
        <v>4176</v>
      </c>
    </row>
    <row r="53" spans="1:8" ht="13.5">
      <c r="A53" s="79" t="s">
        <v>255</v>
      </c>
      <c r="B53" s="312"/>
      <c r="C53" s="319"/>
      <c r="D53" s="361">
        <f t="shared" si="3"/>
        <v>0</v>
      </c>
      <c r="E53" s="329"/>
      <c r="F53" s="361">
        <f t="shared" si="4"/>
        <v>0</v>
      </c>
      <c r="G53" s="384" t="e">
        <f t="shared" si="5"/>
        <v>#DIV/0!</v>
      </c>
      <c r="H53" s="60">
        <v>4179</v>
      </c>
    </row>
    <row r="54" spans="1:8" ht="13.5">
      <c r="A54" s="79" t="s">
        <v>256</v>
      </c>
      <c r="B54" s="312"/>
      <c r="C54" s="314"/>
      <c r="D54" s="361">
        <f t="shared" si="3"/>
        <v>0</v>
      </c>
      <c r="E54" s="333"/>
      <c r="F54" s="361">
        <f t="shared" si="4"/>
        <v>0</v>
      </c>
      <c r="G54" s="384" t="e">
        <f t="shared" si="5"/>
        <v>#DIV/0!</v>
      </c>
      <c r="H54" s="60">
        <v>4180</v>
      </c>
    </row>
    <row r="55" spans="1:8" ht="13.5">
      <c r="A55" s="79" t="s">
        <v>257</v>
      </c>
      <c r="B55" s="312"/>
      <c r="C55" s="319"/>
      <c r="D55" s="361">
        <f t="shared" si="3"/>
        <v>0</v>
      </c>
      <c r="E55" s="329"/>
      <c r="F55" s="361">
        <f t="shared" si="4"/>
        <v>0</v>
      </c>
      <c r="G55" s="384" t="e">
        <f t="shared" si="5"/>
        <v>#DIV/0!</v>
      </c>
      <c r="H55" s="60">
        <v>4190</v>
      </c>
    </row>
    <row r="56" spans="1:8" ht="13.5">
      <c r="A56" s="79" t="s">
        <v>258</v>
      </c>
      <c r="B56" s="312"/>
      <c r="C56" s="319"/>
      <c r="D56" s="361">
        <f t="shared" si="3"/>
        <v>0</v>
      </c>
      <c r="E56" s="329"/>
      <c r="F56" s="361">
        <f t="shared" si="4"/>
        <v>0</v>
      </c>
      <c r="G56" s="384" t="e">
        <f t="shared" si="5"/>
        <v>#DIV/0!</v>
      </c>
      <c r="H56" s="60">
        <v>41901</v>
      </c>
    </row>
    <row r="57" spans="1:8" ht="14.25" thickBot="1">
      <c r="A57" s="79" t="s">
        <v>259</v>
      </c>
      <c r="B57" s="312"/>
      <c r="C57" s="315"/>
      <c r="D57" s="362">
        <f t="shared" si="3"/>
        <v>0</v>
      </c>
      <c r="E57" s="522"/>
      <c r="F57" s="362">
        <f t="shared" si="4"/>
        <v>0</v>
      </c>
      <c r="G57" s="421" t="e">
        <f t="shared" si="5"/>
        <v>#DIV/0!</v>
      </c>
      <c r="H57" s="60">
        <v>4191</v>
      </c>
    </row>
    <row r="58" spans="1:7" ht="13.5">
      <c r="A58" s="34"/>
      <c r="B58" s="35" t="s">
        <v>166</v>
      </c>
      <c r="C58" s="34"/>
      <c r="D58" s="34"/>
      <c r="E58" s="34"/>
      <c r="F58"/>
      <c r="G58" s="304" t="s">
        <v>347</v>
      </c>
    </row>
    <row r="59" spans="1:7" ht="13.5">
      <c r="A59" s="34"/>
      <c r="B59" s="37" t="s">
        <v>33</v>
      </c>
      <c r="C59" s="34" t="s">
        <v>218</v>
      </c>
      <c r="D59" s="34"/>
      <c r="E59" s="34"/>
      <c r="F59" s="45"/>
      <c r="G59" s="208"/>
    </row>
    <row r="60" spans="1:7" ht="13.5">
      <c r="A60" s="162"/>
      <c r="B60" s="37" t="s">
        <v>34</v>
      </c>
      <c r="C60" s="34" t="s">
        <v>219</v>
      </c>
      <c r="D60" s="34"/>
      <c r="E60" s="34"/>
      <c r="F60" s="45"/>
      <c r="G60" s="208"/>
    </row>
    <row r="61" spans="1:7" ht="18">
      <c r="A61" s="34"/>
      <c r="B61" s="38" t="s">
        <v>35</v>
      </c>
      <c r="C61" s="34" t="s">
        <v>220</v>
      </c>
      <c r="D61" s="34"/>
      <c r="E61" s="34"/>
      <c r="F61" s="51"/>
      <c r="G61" s="305"/>
    </row>
    <row r="62" spans="1:7" ht="13.5">
      <c r="A62" s="34"/>
      <c r="B62" s="34"/>
      <c r="C62" s="34" t="s">
        <v>378</v>
      </c>
      <c r="D62" s="34"/>
      <c r="E62" s="34"/>
      <c r="F62" s="48"/>
      <c r="G62" s="305"/>
    </row>
    <row r="63" spans="1:7" ht="12.75">
      <c r="A63" s="149"/>
      <c r="B63" s="124" t="s">
        <v>79</v>
      </c>
      <c r="C63" s="45"/>
      <c r="D63" s="45"/>
      <c r="E63" s="45"/>
      <c r="F63" s="48"/>
      <c r="G63" s="306"/>
    </row>
    <row r="64" spans="1:7" ht="12.75">
      <c r="A64" s="303"/>
      <c r="B64" s="307" t="s">
        <v>374</v>
      </c>
      <c r="C64" s="79"/>
      <c r="D64" s="79"/>
      <c r="E64" s="79"/>
      <c r="F64" s="306"/>
      <c r="G64" s="306"/>
    </row>
    <row r="65" spans="1:6" ht="12.75">
      <c r="A65" s="303"/>
      <c r="B65" s="302" t="s">
        <v>152</v>
      </c>
      <c r="C65" s="79"/>
      <c r="D65" s="79"/>
      <c r="E65" s="79"/>
      <c r="F65" s="303"/>
    </row>
    <row r="66" spans="1:6" ht="12.75">
      <c r="A66" s="303"/>
      <c r="B66" s="79"/>
      <c r="C66" s="79"/>
      <c r="D66" s="79"/>
      <c r="E66" s="79"/>
      <c r="F66" s="303"/>
    </row>
    <row r="67" spans="2:5" ht="13.5">
      <c r="B67" s="84" t="s">
        <v>81</v>
      </c>
      <c r="C67" s="79"/>
      <c r="D67" s="79"/>
      <c r="E67" s="79"/>
    </row>
    <row r="69" spans="1:7" ht="11.25">
      <c r="A69" s="122">
        <v>1</v>
      </c>
      <c r="B69" s="122">
        <v>2</v>
      </c>
      <c r="C69" s="122">
        <v>3</v>
      </c>
      <c r="D69" s="122">
        <v>4</v>
      </c>
      <c r="E69" s="122">
        <v>5</v>
      </c>
      <c r="F69" s="122">
        <v>6</v>
      </c>
      <c r="G69" s="122">
        <v>7</v>
      </c>
    </row>
    <row r="70" ht="12" thickBot="1">
      <c r="D70" s="122"/>
    </row>
    <row r="71" spans="1:7" ht="13.5">
      <c r="A71" s="302"/>
      <c r="B71" s="309" t="s">
        <v>7</v>
      </c>
      <c r="C71" s="310" t="s">
        <v>365</v>
      </c>
      <c r="D71" s="424" t="s">
        <v>28</v>
      </c>
      <c r="E71" s="544" t="s">
        <v>380</v>
      </c>
      <c r="F71" s="424" t="s">
        <v>28</v>
      </c>
      <c r="G71" s="394" t="s">
        <v>13</v>
      </c>
    </row>
    <row r="72" spans="3:7" ht="12" thickBot="1">
      <c r="C72" s="524" t="s">
        <v>16</v>
      </c>
      <c r="D72" s="446" t="s">
        <v>15</v>
      </c>
      <c r="E72" s="325" t="s">
        <v>16</v>
      </c>
      <c r="F72" s="446" t="s">
        <v>15</v>
      </c>
      <c r="G72" s="545" t="s">
        <v>40</v>
      </c>
    </row>
    <row r="73" spans="1:7" ht="11.25">
      <c r="A73" s="414" t="s">
        <v>260</v>
      </c>
      <c r="B73" s="79"/>
      <c r="C73" s="577"/>
      <c r="D73" s="360">
        <f aca="true" t="shared" si="6" ref="D73:D89">$C73/$C$178*100</f>
        <v>0</v>
      </c>
      <c r="E73" s="542"/>
      <c r="F73" s="360">
        <f aca="true" t="shared" si="7" ref="F73:F89">$E73/$E$178*100</f>
        <v>0</v>
      </c>
      <c r="G73" s="383" t="e">
        <f aca="true" t="shared" si="8" ref="G73:G89">E73/C73*100</f>
        <v>#DIV/0!</v>
      </c>
    </row>
    <row r="74" spans="1:7" ht="11.25">
      <c r="A74" s="414" t="s">
        <v>261</v>
      </c>
      <c r="B74" s="79"/>
      <c r="C74" s="422"/>
      <c r="D74" s="361">
        <f t="shared" si="6"/>
        <v>0</v>
      </c>
      <c r="E74" s="321"/>
      <c r="F74" s="361">
        <f t="shared" si="7"/>
        <v>0</v>
      </c>
      <c r="G74" s="384" t="e">
        <f t="shared" si="8"/>
        <v>#DIV/0!</v>
      </c>
    </row>
    <row r="75" spans="1:7" ht="11.25">
      <c r="A75" s="414" t="s">
        <v>385</v>
      </c>
      <c r="B75" s="79"/>
      <c r="C75" s="422"/>
      <c r="D75" s="361">
        <f t="shared" si="6"/>
        <v>0</v>
      </c>
      <c r="E75" s="321"/>
      <c r="F75" s="361">
        <f t="shared" si="7"/>
        <v>0</v>
      </c>
      <c r="G75" s="384" t="e">
        <f t="shared" si="8"/>
        <v>#DIV/0!</v>
      </c>
    </row>
    <row r="76" spans="1:7" ht="11.25">
      <c r="A76" s="414" t="s">
        <v>386</v>
      </c>
      <c r="B76" s="79"/>
      <c r="C76" s="422"/>
      <c r="D76" s="361">
        <f t="shared" si="6"/>
        <v>0</v>
      </c>
      <c r="E76" s="321"/>
      <c r="F76" s="361">
        <f t="shared" si="7"/>
        <v>0</v>
      </c>
      <c r="G76" s="384" t="e">
        <f t="shared" si="8"/>
        <v>#DIV/0!</v>
      </c>
    </row>
    <row r="77" spans="1:7" ht="11.25">
      <c r="A77" s="414" t="s">
        <v>262</v>
      </c>
      <c r="B77" s="79"/>
      <c r="C77" s="422"/>
      <c r="D77" s="361">
        <f t="shared" si="6"/>
        <v>0</v>
      </c>
      <c r="E77" s="321"/>
      <c r="F77" s="361">
        <f t="shared" si="7"/>
        <v>0</v>
      </c>
      <c r="G77" s="384" t="e">
        <f t="shared" si="8"/>
        <v>#DIV/0!</v>
      </c>
    </row>
    <row r="78" spans="1:7" ht="11.25">
      <c r="A78" s="414" t="s">
        <v>263</v>
      </c>
      <c r="B78" s="79"/>
      <c r="C78" s="437">
        <v>10000</v>
      </c>
      <c r="D78" s="361">
        <f t="shared" si="6"/>
        <v>0.4910357736747374</v>
      </c>
      <c r="E78" s="457">
        <v>10000</v>
      </c>
      <c r="F78" s="361">
        <f t="shared" si="7"/>
        <v>0.49842938943158904</v>
      </c>
      <c r="G78" s="384">
        <f t="shared" si="8"/>
        <v>100</v>
      </c>
    </row>
    <row r="79" spans="1:7" ht="11.25">
      <c r="A79" s="414" t="s">
        <v>264</v>
      </c>
      <c r="B79" s="79"/>
      <c r="C79" s="437"/>
      <c r="D79" s="361">
        <f t="shared" si="6"/>
        <v>0</v>
      </c>
      <c r="E79" s="457"/>
      <c r="F79" s="361">
        <f t="shared" si="7"/>
        <v>0</v>
      </c>
      <c r="G79" s="384" t="e">
        <f t="shared" si="8"/>
        <v>#DIV/0!</v>
      </c>
    </row>
    <row r="80" spans="1:7" ht="11.25">
      <c r="A80" s="414" t="s">
        <v>265</v>
      </c>
      <c r="B80" s="79"/>
      <c r="C80" s="437">
        <v>60000</v>
      </c>
      <c r="D80" s="361">
        <f t="shared" si="6"/>
        <v>2.9462146420484245</v>
      </c>
      <c r="E80" s="457">
        <v>60000</v>
      </c>
      <c r="F80" s="361">
        <f t="shared" si="7"/>
        <v>2.990576336589534</v>
      </c>
      <c r="G80" s="384">
        <f t="shared" si="8"/>
        <v>100</v>
      </c>
    </row>
    <row r="81" spans="1:7" ht="11.25">
      <c r="A81" s="414" t="s">
        <v>266</v>
      </c>
      <c r="B81" s="79"/>
      <c r="C81" s="437"/>
      <c r="D81" s="361">
        <f t="shared" si="6"/>
        <v>0</v>
      </c>
      <c r="E81" s="457"/>
      <c r="F81" s="361">
        <f t="shared" si="7"/>
        <v>0</v>
      </c>
      <c r="G81" s="384" t="e">
        <f t="shared" si="8"/>
        <v>#DIV/0!</v>
      </c>
    </row>
    <row r="82" spans="1:7" ht="11.25">
      <c r="A82" s="414" t="s">
        <v>267</v>
      </c>
      <c r="B82" s="79"/>
      <c r="C82" s="437"/>
      <c r="D82" s="361">
        <f t="shared" si="6"/>
        <v>0</v>
      </c>
      <c r="E82" s="457"/>
      <c r="F82" s="361">
        <f t="shared" si="7"/>
        <v>0</v>
      </c>
      <c r="G82" s="384" t="e">
        <f t="shared" si="8"/>
        <v>#DIV/0!</v>
      </c>
    </row>
    <row r="83" spans="1:7" ht="11.25">
      <c r="A83" s="414" t="s">
        <v>268</v>
      </c>
      <c r="B83" s="79"/>
      <c r="C83" s="437">
        <v>5000</v>
      </c>
      <c r="D83" s="361">
        <f t="shared" si="6"/>
        <v>0.2455178868373687</v>
      </c>
      <c r="E83" s="457">
        <v>5000</v>
      </c>
      <c r="F83" s="361">
        <f t="shared" si="7"/>
        <v>0.24921469471579452</v>
      </c>
      <c r="G83" s="384">
        <f t="shared" si="8"/>
        <v>100</v>
      </c>
    </row>
    <row r="84" spans="1:7" ht="11.25">
      <c r="A84" s="414" t="s">
        <v>269</v>
      </c>
      <c r="B84" s="312"/>
      <c r="C84" s="314"/>
      <c r="D84" s="361">
        <f t="shared" si="6"/>
        <v>0</v>
      </c>
      <c r="E84" s="333"/>
      <c r="F84" s="361">
        <f t="shared" si="7"/>
        <v>0</v>
      </c>
      <c r="G84" s="384" t="e">
        <f t="shared" si="8"/>
        <v>#DIV/0!</v>
      </c>
    </row>
    <row r="85" spans="1:7" ht="11.25">
      <c r="A85" s="414" t="s">
        <v>270</v>
      </c>
      <c r="B85" s="312"/>
      <c r="C85" s="314"/>
      <c r="D85" s="361">
        <f t="shared" si="6"/>
        <v>0</v>
      </c>
      <c r="E85" s="333"/>
      <c r="F85" s="361">
        <f t="shared" si="7"/>
        <v>0</v>
      </c>
      <c r="G85" s="384" t="e">
        <f t="shared" si="8"/>
        <v>#DIV/0!</v>
      </c>
    </row>
    <row r="86" spans="1:7" ht="11.25">
      <c r="A86" s="414" t="s">
        <v>271</v>
      </c>
      <c r="B86" s="312"/>
      <c r="C86" s="319"/>
      <c r="D86" s="361">
        <f t="shared" si="6"/>
        <v>0</v>
      </c>
      <c r="E86" s="329"/>
      <c r="F86" s="361">
        <f t="shared" si="7"/>
        <v>0</v>
      </c>
      <c r="G86" s="384" t="e">
        <f t="shared" si="8"/>
        <v>#DIV/0!</v>
      </c>
    </row>
    <row r="87" spans="1:7" ht="11.25">
      <c r="A87" s="414" t="s">
        <v>272</v>
      </c>
      <c r="B87" s="312"/>
      <c r="C87" s="319"/>
      <c r="D87" s="361">
        <f t="shared" si="6"/>
        <v>0</v>
      </c>
      <c r="E87" s="329"/>
      <c r="F87" s="361">
        <f t="shared" si="7"/>
        <v>0</v>
      </c>
      <c r="G87" s="384" t="e">
        <f t="shared" si="8"/>
        <v>#DIV/0!</v>
      </c>
    </row>
    <row r="88" spans="3:7" ht="12" thickBot="1">
      <c r="C88" s="578"/>
      <c r="D88" s="362">
        <f t="shared" si="6"/>
        <v>0</v>
      </c>
      <c r="E88" s="543"/>
      <c r="F88" s="362">
        <f t="shared" si="7"/>
        <v>0</v>
      </c>
      <c r="G88" s="421" t="e">
        <f t="shared" si="8"/>
        <v>#DIV/0!</v>
      </c>
    </row>
    <row r="89" spans="1:7" ht="12" thickBot="1">
      <c r="A89" s="302">
        <v>41</v>
      </c>
      <c r="B89" s="316" t="s">
        <v>74</v>
      </c>
      <c r="C89" s="334">
        <f>+SUM(C39:C57,C73:C87)</f>
        <v>101500</v>
      </c>
      <c r="D89" s="362">
        <f t="shared" si="6"/>
        <v>4.984013102798585</v>
      </c>
      <c r="E89" s="502">
        <f>+SUM(E39:E57,E73:E87)</f>
        <v>101500</v>
      </c>
      <c r="F89" s="362">
        <f t="shared" si="7"/>
        <v>5.059058302730628</v>
      </c>
      <c r="G89" s="421">
        <f t="shared" si="8"/>
        <v>100</v>
      </c>
    </row>
    <row r="90" spans="3:7" ht="12" thickBot="1">
      <c r="C90" s="182"/>
      <c r="D90" s="187"/>
      <c r="E90" s="182"/>
      <c r="F90" s="187"/>
      <c r="G90" s="313"/>
    </row>
    <row r="91" spans="1:10" ht="12" thickBot="1">
      <c r="A91" s="302">
        <v>42</v>
      </c>
      <c r="B91" s="316" t="s">
        <v>19</v>
      </c>
      <c r="C91" s="500">
        <f>SUM(C92:C102)</f>
        <v>1150791.5</v>
      </c>
      <c r="D91" s="363">
        <f aca="true" t="shared" si="9" ref="D91:D102">$C91/$C$178*100</f>
        <v>56.50797945408116</v>
      </c>
      <c r="E91" s="317">
        <f>SUM(E92:E102)</f>
        <v>1150582.239</v>
      </c>
      <c r="F91" s="363">
        <f aca="true" t="shared" si="10" ref="F91:F102">$E91/$E$178*100</f>
        <v>57.34840028756006</v>
      </c>
      <c r="G91" s="383">
        <f aca="true" t="shared" si="11" ref="G91:G102">E91/C91*100</f>
        <v>99.98181590670421</v>
      </c>
      <c r="J91" s="169">
        <f>E91-C91</f>
        <v>-209.2609999999404</v>
      </c>
    </row>
    <row r="92" spans="1:7" ht="11.25">
      <c r="A92" s="414" t="s">
        <v>273</v>
      </c>
      <c r="B92" s="316"/>
      <c r="C92" s="327">
        <v>786847.38</v>
      </c>
      <c r="D92" s="361">
        <f t="shared" si="9"/>
        <v>38.63702120022401</v>
      </c>
      <c r="E92" s="287">
        <f>C92*1.03</f>
        <v>810452.8014</v>
      </c>
      <c r="F92" s="419">
        <f t="shared" si="10"/>
        <v>40.39534949649229</v>
      </c>
      <c r="G92" s="386">
        <f t="shared" si="11"/>
        <v>103</v>
      </c>
    </row>
    <row r="93" spans="1:7" ht="11.25">
      <c r="A93" s="414" t="s">
        <v>274</v>
      </c>
      <c r="B93" s="316"/>
      <c r="C93" s="327">
        <v>48189.52</v>
      </c>
      <c r="D93" s="361">
        <f t="shared" si="9"/>
        <v>2.3662778236214232</v>
      </c>
      <c r="E93" s="287">
        <f>C93*1.03</f>
        <v>49635.2056</v>
      </c>
      <c r="F93" s="419">
        <f t="shared" si="10"/>
        <v>2.4739645221519386</v>
      </c>
      <c r="G93" s="387">
        <f t="shared" si="11"/>
        <v>103</v>
      </c>
    </row>
    <row r="94" spans="1:7" ht="11.25">
      <c r="A94" s="414" t="s">
        <v>275</v>
      </c>
      <c r="B94" s="316"/>
      <c r="C94" s="327"/>
      <c r="D94" s="361">
        <f t="shared" si="9"/>
        <v>0</v>
      </c>
      <c r="E94" s="287"/>
      <c r="F94" s="419">
        <f t="shared" si="10"/>
        <v>0</v>
      </c>
      <c r="G94" s="387" t="e">
        <f t="shared" si="11"/>
        <v>#DIV/0!</v>
      </c>
    </row>
    <row r="95" spans="1:7" ht="11.25">
      <c r="A95" s="414" t="s">
        <v>276</v>
      </c>
      <c r="B95" s="316"/>
      <c r="C95" s="327">
        <v>157760.24</v>
      </c>
      <c r="D95" s="361">
        <f t="shared" si="9"/>
        <v>7.746592150351225</v>
      </c>
      <c r="E95" s="287">
        <f>C95*0.92</f>
        <v>145139.4208</v>
      </c>
      <c r="F95" s="419">
        <f t="shared" si="10"/>
        <v>7.234175289179847</v>
      </c>
      <c r="G95" s="387">
        <f t="shared" si="11"/>
        <v>92</v>
      </c>
    </row>
    <row r="96" spans="1:7" ht="11.25">
      <c r="A96" s="414" t="s">
        <v>277</v>
      </c>
      <c r="B96" s="316"/>
      <c r="C96" s="327"/>
      <c r="D96" s="361">
        <f t="shared" si="9"/>
        <v>0</v>
      </c>
      <c r="E96" s="287"/>
      <c r="F96" s="419">
        <f t="shared" si="10"/>
        <v>0</v>
      </c>
      <c r="G96" s="387" t="e">
        <f t="shared" si="11"/>
        <v>#DIV/0!</v>
      </c>
    </row>
    <row r="97" spans="1:7" ht="11.25">
      <c r="A97" s="415" t="s">
        <v>278</v>
      </c>
      <c r="B97" s="192"/>
      <c r="C97" s="327"/>
      <c r="D97" s="361">
        <f t="shared" si="9"/>
        <v>0</v>
      </c>
      <c r="E97" s="287"/>
      <c r="F97" s="419">
        <f t="shared" si="10"/>
        <v>0</v>
      </c>
      <c r="G97" s="387" t="e">
        <f t="shared" si="11"/>
        <v>#DIV/0!</v>
      </c>
    </row>
    <row r="98" spans="1:7" ht="11.25">
      <c r="A98" s="414" t="s">
        <v>279</v>
      </c>
      <c r="B98" s="192"/>
      <c r="C98" s="327"/>
      <c r="D98" s="361">
        <f t="shared" si="9"/>
        <v>0</v>
      </c>
      <c r="E98" s="287"/>
      <c r="F98" s="419">
        <f t="shared" si="10"/>
        <v>0</v>
      </c>
      <c r="G98" s="387" t="e">
        <f t="shared" si="11"/>
        <v>#DIV/0!</v>
      </c>
    </row>
    <row r="99" spans="1:7" ht="11.25">
      <c r="A99" s="414" t="s">
        <v>280</v>
      </c>
      <c r="B99" s="192"/>
      <c r="C99" s="327"/>
      <c r="D99" s="361">
        <f t="shared" si="9"/>
        <v>0</v>
      </c>
      <c r="E99" s="287"/>
      <c r="F99" s="419">
        <f t="shared" si="10"/>
        <v>0</v>
      </c>
      <c r="G99" s="387" t="e">
        <f t="shared" si="11"/>
        <v>#DIV/0!</v>
      </c>
    </row>
    <row r="100" spans="1:7" ht="11.25">
      <c r="A100" s="414" t="s">
        <v>281</v>
      </c>
      <c r="B100" s="192"/>
      <c r="C100" s="327">
        <v>157994.36</v>
      </c>
      <c r="D100" s="361">
        <f t="shared" si="9"/>
        <v>7.758088279884498</v>
      </c>
      <c r="E100" s="287">
        <f>C100*0.92</f>
        <v>145354.8112</v>
      </c>
      <c r="F100" s="419">
        <f t="shared" si="10"/>
        <v>7.24491097973599</v>
      </c>
      <c r="G100" s="387">
        <f t="shared" si="11"/>
        <v>92</v>
      </c>
    </row>
    <row r="101" spans="1:7" ht="11.25">
      <c r="A101" s="414" t="s">
        <v>282</v>
      </c>
      <c r="B101" s="192"/>
      <c r="C101" s="327"/>
      <c r="D101" s="361">
        <f t="shared" si="9"/>
        <v>0</v>
      </c>
      <c r="E101" s="287"/>
      <c r="F101" s="419">
        <f t="shared" si="10"/>
        <v>0</v>
      </c>
      <c r="G101" s="387" t="e">
        <f t="shared" si="11"/>
        <v>#DIV/0!</v>
      </c>
    </row>
    <row r="102" spans="1:7" ht="12" thickBot="1">
      <c r="A102" s="414" t="s">
        <v>283</v>
      </c>
      <c r="B102" s="192"/>
      <c r="C102" s="418"/>
      <c r="D102" s="362">
        <f t="shared" si="9"/>
        <v>0</v>
      </c>
      <c r="E102" s="322"/>
      <c r="F102" s="420">
        <f t="shared" si="10"/>
        <v>0</v>
      </c>
      <c r="G102" s="388" t="e">
        <f t="shared" si="11"/>
        <v>#DIV/0!</v>
      </c>
    </row>
    <row r="103" spans="1:7" ht="12" thickBot="1">
      <c r="A103" s="79"/>
      <c r="B103" s="192"/>
      <c r="C103" s="323"/>
      <c r="D103" s="187"/>
      <c r="E103" s="323"/>
      <c r="F103" s="187"/>
      <c r="G103" s="313"/>
    </row>
    <row r="104" spans="1:7" ht="12" thickBot="1">
      <c r="A104" s="302">
        <v>43</v>
      </c>
      <c r="B104" s="316" t="s">
        <v>20</v>
      </c>
      <c r="C104" s="317">
        <v>50000</v>
      </c>
      <c r="D104" s="525">
        <f>$C104/$C$178*100</f>
        <v>2.4551788683736873</v>
      </c>
      <c r="E104" s="317">
        <v>50000</v>
      </c>
      <c r="F104" s="525">
        <f>$E104/$E$178*100</f>
        <v>2.492146947157945</v>
      </c>
      <c r="G104" s="389">
        <f>E104/C104*100</f>
        <v>100</v>
      </c>
    </row>
    <row r="105" spans="1:7" ht="12" thickBot="1">
      <c r="A105" s="302"/>
      <c r="B105" s="302"/>
      <c r="C105" s="181"/>
      <c r="D105" s="187"/>
      <c r="E105" s="181"/>
      <c r="F105" s="187"/>
      <c r="G105" s="313"/>
    </row>
    <row r="106" spans="1:7" ht="12" thickBot="1">
      <c r="A106" s="302">
        <v>4450</v>
      </c>
      <c r="B106" s="302" t="s">
        <v>77</v>
      </c>
      <c r="C106" s="317">
        <v>0</v>
      </c>
      <c r="D106" s="525">
        <f>$C106/$C$178*100</f>
        <v>0</v>
      </c>
      <c r="E106" s="317">
        <v>0</v>
      </c>
      <c r="F106" s="525">
        <f>$E106/$E$178*100</f>
        <v>0</v>
      </c>
      <c r="G106" s="389" t="e">
        <f>E106/C106*100</f>
        <v>#DIV/0!</v>
      </c>
    </row>
    <row r="107" spans="1:7" ht="12" thickBot="1">
      <c r="A107" s="79"/>
      <c r="B107" s="79"/>
      <c r="C107" s="416"/>
      <c r="D107" s="416"/>
      <c r="E107" s="416"/>
      <c r="F107" s="416"/>
      <c r="G107" s="416"/>
    </row>
    <row r="108" spans="1:7" ht="11.25">
      <c r="A108" s="414" t="s">
        <v>284</v>
      </c>
      <c r="B108" s="79"/>
      <c r="C108" s="559">
        <v>1000</v>
      </c>
      <c r="D108" s="360">
        <f aca="true" t="shared" si="12" ref="D108:D121">$C108/$C$178*100</f>
        <v>0.04910357736747375</v>
      </c>
      <c r="E108" s="447">
        <v>1000</v>
      </c>
      <c r="F108" s="360">
        <f aca="true" t="shared" si="13" ref="F108:F121">$E108/$E$178*100</f>
        <v>0.049842938943158895</v>
      </c>
      <c r="G108" s="383">
        <f aca="true" t="shared" si="14" ref="G108:G121">E108/C108*100</f>
        <v>100</v>
      </c>
    </row>
    <row r="109" spans="1:7" ht="11.25">
      <c r="A109" s="414" t="s">
        <v>285</v>
      </c>
      <c r="B109" s="79"/>
      <c r="C109" s="287">
        <v>0</v>
      </c>
      <c r="D109" s="361">
        <f t="shared" si="12"/>
        <v>0</v>
      </c>
      <c r="E109" s="180">
        <v>0</v>
      </c>
      <c r="F109" s="361">
        <f t="shared" si="13"/>
        <v>0</v>
      </c>
      <c r="G109" s="384" t="e">
        <f t="shared" si="14"/>
        <v>#DIV/0!</v>
      </c>
    </row>
    <row r="110" spans="1:7" ht="11.25">
      <c r="A110" s="414" t="s">
        <v>286</v>
      </c>
      <c r="B110" s="323"/>
      <c r="C110" s="287">
        <v>2100</v>
      </c>
      <c r="D110" s="361">
        <f t="shared" si="12"/>
        <v>0.10311751247169486</v>
      </c>
      <c r="E110" s="180">
        <v>2100</v>
      </c>
      <c r="F110" s="361">
        <f t="shared" si="13"/>
        <v>0.10467017178063369</v>
      </c>
      <c r="G110" s="384">
        <f t="shared" si="14"/>
        <v>100</v>
      </c>
    </row>
    <row r="111" spans="1:7" ht="11.25">
      <c r="A111" s="414" t="s">
        <v>287</v>
      </c>
      <c r="B111" s="79"/>
      <c r="C111" s="287">
        <v>15600</v>
      </c>
      <c r="D111" s="361">
        <f t="shared" si="12"/>
        <v>0.7660158069325904</v>
      </c>
      <c r="E111" s="180">
        <v>15600</v>
      </c>
      <c r="F111" s="361">
        <f t="shared" si="13"/>
        <v>0.7775498475132788</v>
      </c>
      <c r="G111" s="384">
        <f t="shared" si="14"/>
        <v>100</v>
      </c>
    </row>
    <row r="112" spans="1:7" s="182" customFormat="1" ht="11.25">
      <c r="A112" s="441">
        <v>461400</v>
      </c>
      <c r="B112" s="323" t="s">
        <v>97</v>
      </c>
      <c r="C112" s="287">
        <v>25000</v>
      </c>
      <c r="D112" s="361">
        <f t="shared" si="12"/>
        <v>1.2275894341868436</v>
      </c>
      <c r="E112" s="180">
        <v>25000</v>
      </c>
      <c r="F112" s="361">
        <f t="shared" si="13"/>
        <v>1.2460734735789725</v>
      </c>
      <c r="G112" s="384">
        <f t="shared" si="14"/>
        <v>100</v>
      </c>
    </row>
    <row r="113" spans="1:7" s="182" customFormat="1" ht="11.25">
      <c r="A113" s="441">
        <v>461500</v>
      </c>
      <c r="B113" s="323" t="s">
        <v>21</v>
      </c>
      <c r="C113" s="287">
        <v>7200</v>
      </c>
      <c r="D113" s="361">
        <f t="shared" si="12"/>
        <v>0.3535457570458109</v>
      </c>
      <c r="E113" s="180">
        <v>7200</v>
      </c>
      <c r="F113" s="361">
        <f t="shared" si="13"/>
        <v>0.35886916039074407</v>
      </c>
      <c r="G113" s="384">
        <f t="shared" si="14"/>
        <v>100</v>
      </c>
    </row>
    <row r="114" spans="1:7" ht="11.25">
      <c r="A114" s="414" t="s">
        <v>288</v>
      </c>
      <c r="B114" s="79"/>
      <c r="C114" s="287">
        <v>2500</v>
      </c>
      <c r="D114" s="361">
        <f t="shared" si="12"/>
        <v>0.12275894341868435</v>
      </c>
      <c r="E114" s="180">
        <v>2500</v>
      </c>
      <c r="F114" s="361">
        <f t="shared" si="13"/>
        <v>0.12460734735789726</v>
      </c>
      <c r="G114" s="384">
        <f t="shared" si="14"/>
        <v>100</v>
      </c>
    </row>
    <row r="115" spans="1:7" ht="11.25">
      <c r="A115" s="414" t="s">
        <v>289</v>
      </c>
      <c r="B115" s="79"/>
      <c r="C115" s="287">
        <v>3000</v>
      </c>
      <c r="D115" s="361">
        <f t="shared" si="12"/>
        <v>0.1473107321024212</v>
      </c>
      <c r="E115" s="180">
        <v>3000</v>
      </c>
      <c r="F115" s="361">
        <f t="shared" si="13"/>
        <v>0.1495288168294767</v>
      </c>
      <c r="G115" s="384">
        <f t="shared" si="14"/>
        <v>100</v>
      </c>
    </row>
    <row r="116" spans="1:7" s="182" customFormat="1" ht="11.25">
      <c r="A116" s="443" t="s">
        <v>318</v>
      </c>
      <c r="B116" s="323"/>
      <c r="C116" s="287">
        <v>52200</v>
      </c>
      <c r="D116" s="361">
        <f t="shared" si="12"/>
        <v>2.5632067385821293</v>
      </c>
      <c r="E116" s="180">
        <v>52200</v>
      </c>
      <c r="F116" s="361">
        <f t="shared" si="13"/>
        <v>2.6018014128328946</v>
      </c>
      <c r="G116" s="384">
        <f t="shared" si="14"/>
        <v>100</v>
      </c>
    </row>
    <row r="117" spans="1:7" ht="11.25">
      <c r="A117" s="414" t="s">
        <v>290</v>
      </c>
      <c r="B117" s="79"/>
      <c r="C117" s="287">
        <v>0</v>
      </c>
      <c r="D117" s="361">
        <f t="shared" si="12"/>
        <v>0</v>
      </c>
      <c r="E117" s="180">
        <v>0</v>
      </c>
      <c r="F117" s="361">
        <f t="shared" si="13"/>
        <v>0</v>
      </c>
      <c r="G117" s="384" t="e">
        <f t="shared" si="14"/>
        <v>#DIV/0!</v>
      </c>
    </row>
    <row r="118" spans="1:7" ht="11.25">
      <c r="A118" s="414" t="s">
        <v>291</v>
      </c>
      <c r="B118" s="79"/>
      <c r="C118" s="287"/>
      <c r="D118" s="361">
        <f t="shared" si="12"/>
        <v>0</v>
      </c>
      <c r="E118" s="180"/>
      <c r="F118" s="361">
        <f t="shared" si="13"/>
        <v>0</v>
      </c>
      <c r="G118" s="384" t="e">
        <f t="shared" si="14"/>
        <v>#DIV/0!</v>
      </c>
    </row>
    <row r="119" spans="1:7" ht="11.25">
      <c r="A119" s="414" t="s">
        <v>292</v>
      </c>
      <c r="B119" s="79"/>
      <c r="C119" s="287"/>
      <c r="D119" s="361">
        <f t="shared" si="12"/>
        <v>0</v>
      </c>
      <c r="E119" s="180"/>
      <c r="F119" s="361">
        <f t="shared" si="13"/>
        <v>0</v>
      </c>
      <c r="G119" s="384" t="e">
        <f t="shared" si="14"/>
        <v>#DIV/0!</v>
      </c>
    </row>
    <row r="120" spans="1:7" ht="11.25">
      <c r="A120" s="414" t="s">
        <v>293</v>
      </c>
      <c r="B120" s="79"/>
      <c r="C120" s="287">
        <v>15000</v>
      </c>
      <c r="D120" s="361">
        <f t="shared" si="12"/>
        <v>0.7365536605121061</v>
      </c>
      <c r="E120" s="180">
        <v>15000</v>
      </c>
      <c r="F120" s="361">
        <f t="shared" si="13"/>
        <v>0.7476440841473835</v>
      </c>
      <c r="G120" s="384">
        <f t="shared" si="14"/>
        <v>100</v>
      </c>
    </row>
    <row r="121" spans="1:7" ht="12" thickBot="1">
      <c r="A121" s="414" t="s">
        <v>423</v>
      </c>
      <c r="B121" s="79" t="s">
        <v>422</v>
      </c>
      <c r="C121" s="322">
        <v>18000</v>
      </c>
      <c r="D121" s="362">
        <f t="shared" si="12"/>
        <v>0.8838643926145273</v>
      </c>
      <c r="E121" s="448">
        <v>18000</v>
      </c>
      <c r="F121" s="362">
        <f t="shared" si="13"/>
        <v>0.8971729009768602</v>
      </c>
      <c r="G121" s="421">
        <f t="shared" si="14"/>
        <v>100</v>
      </c>
    </row>
    <row r="122" spans="1:7" ht="13.5">
      <c r="A122" s="34"/>
      <c r="B122" s="35" t="s">
        <v>166</v>
      </c>
      <c r="C122" s="34"/>
      <c r="D122" s="34"/>
      <c r="E122" s="34"/>
      <c r="F122"/>
      <c r="G122" s="304" t="s">
        <v>359</v>
      </c>
    </row>
    <row r="123" spans="1:6" ht="13.5">
      <c r="A123" s="34"/>
      <c r="B123" s="37" t="s">
        <v>33</v>
      </c>
      <c r="C123" s="34" t="s">
        <v>218</v>
      </c>
      <c r="D123" s="34"/>
      <c r="E123" s="34"/>
      <c r="F123" s="45"/>
    </row>
    <row r="124" spans="1:6" ht="13.5">
      <c r="A124" s="162"/>
      <c r="B124" s="37" t="s">
        <v>34</v>
      </c>
      <c r="C124" s="34" t="s">
        <v>219</v>
      </c>
      <c r="D124" s="34"/>
      <c r="E124" s="34"/>
      <c r="F124" s="45"/>
    </row>
    <row r="125" spans="1:6" ht="18">
      <c r="A125" s="34"/>
      <c r="B125" s="38" t="s">
        <v>35</v>
      </c>
      <c r="C125" s="34" t="s">
        <v>220</v>
      </c>
      <c r="D125" s="34"/>
      <c r="E125" s="34"/>
      <c r="F125" s="51"/>
    </row>
    <row r="126" spans="1:6" ht="13.5">
      <c r="A126" s="34"/>
      <c r="B126" s="34"/>
      <c r="C126" s="34" t="s">
        <v>378</v>
      </c>
      <c r="D126" s="34"/>
      <c r="E126" s="34"/>
      <c r="F126" s="48"/>
    </row>
    <row r="127" spans="1:7" ht="12.75">
      <c r="A127" s="303"/>
      <c r="B127" s="124"/>
      <c r="C127" s="303"/>
      <c r="D127" s="303"/>
      <c r="E127" s="303"/>
      <c r="F127" s="306"/>
      <c r="G127" s="306"/>
    </row>
    <row r="128" spans="1:7" ht="12.75">
      <c r="A128" s="303"/>
      <c r="B128" s="307" t="s">
        <v>374</v>
      </c>
      <c r="C128" s="79"/>
      <c r="D128" s="79"/>
      <c r="E128" s="79"/>
      <c r="F128" s="306"/>
      <c r="G128" s="306"/>
    </row>
    <row r="129" spans="2:6" ht="12.75">
      <c r="B129" s="79"/>
      <c r="C129" s="79"/>
      <c r="D129" s="79"/>
      <c r="E129" s="79"/>
      <c r="F129" s="303"/>
    </row>
    <row r="130" spans="1:6" ht="12.75">
      <c r="A130" s="303"/>
      <c r="B130" s="302" t="s">
        <v>151</v>
      </c>
      <c r="C130" s="79"/>
      <c r="D130" s="79"/>
      <c r="E130" s="79"/>
      <c r="F130" s="303"/>
    </row>
    <row r="131" spans="1:6" ht="12.75">
      <c r="A131" s="303"/>
      <c r="B131" s="79"/>
      <c r="C131" s="79"/>
      <c r="D131" s="79"/>
      <c r="E131" s="79"/>
      <c r="F131" s="303"/>
    </row>
    <row r="132" spans="2:5" ht="13.5">
      <c r="B132" s="84" t="s">
        <v>81</v>
      </c>
      <c r="C132" s="79"/>
      <c r="D132" s="79"/>
      <c r="E132" s="79"/>
    </row>
    <row r="133" spans="1:7" ht="11.25">
      <c r="A133" s="122">
        <v>1</v>
      </c>
      <c r="B133" s="122">
        <v>2</v>
      </c>
      <c r="C133" s="122">
        <v>3</v>
      </c>
      <c r="D133" s="122">
        <v>4</v>
      </c>
      <c r="E133" s="122">
        <v>5</v>
      </c>
      <c r="F133" s="122">
        <v>6</v>
      </c>
      <c r="G133" s="122">
        <v>7</v>
      </c>
    </row>
    <row r="134" ht="12" thickBot="1">
      <c r="D134" s="122"/>
    </row>
    <row r="135" spans="1:7" ht="11.25">
      <c r="A135" s="302"/>
      <c r="B135" s="309" t="s">
        <v>7</v>
      </c>
      <c r="C135" s="445" t="s">
        <v>365</v>
      </c>
      <c r="D135" s="424" t="s">
        <v>28</v>
      </c>
      <c r="E135" s="423" t="s">
        <v>380</v>
      </c>
      <c r="F135" s="424" t="s">
        <v>28</v>
      </c>
      <c r="G135" s="451" t="s">
        <v>13</v>
      </c>
    </row>
    <row r="136" spans="1:7" ht="12" thickBot="1">
      <c r="A136" s="79"/>
      <c r="B136" s="79"/>
      <c r="C136" s="526" t="s">
        <v>16</v>
      </c>
      <c r="D136" s="425" t="s">
        <v>15</v>
      </c>
      <c r="E136" s="527" t="s">
        <v>16</v>
      </c>
      <c r="F136" s="425" t="s">
        <v>15</v>
      </c>
      <c r="G136" s="426" t="s">
        <v>40</v>
      </c>
    </row>
    <row r="137" spans="1:7" ht="11.25">
      <c r="A137" s="414"/>
      <c r="B137" s="79"/>
      <c r="C137" s="287"/>
      <c r="D137" s="428"/>
      <c r="E137" s="287"/>
      <c r="F137" s="428"/>
      <c r="G137" s="442"/>
    </row>
    <row r="138" spans="1:7" ht="11.25">
      <c r="A138" s="414" t="s">
        <v>294</v>
      </c>
      <c r="B138" s="79"/>
      <c r="C138" s="287"/>
      <c r="D138" s="428">
        <f aca="true" t="shared" si="15" ref="D138:D154">$C138/$C$178*100</f>
        <v>0</v>
      </c>
      <c r="E138" s="287"/>
      <c r="F138" s="428">
        <f aca="true" t="shared" si="16" ref="F138:F154">$E138/$E$178*100</f>
        <v>0</v>
      </c>
      <c r="G138" s="442" t="e">
        <f aca="true" t="shared" si="17" ref="G138:G154">E138/C138*100</f>
        <v>#DIV/0!</v>
      </c>
    </row>
    <row r="139" spans="1:7" ht="11.25">
      <c r="A139" s="414" t="s">
        <v>295</v>
      </c>
      <c r="B139" s="79"/>
      <c r="C139" s="287"/>
      <c r="D139" s="428">
        <f t="shared" si="15"/>
        <v>0</v>
      </c>
      <c r="E139" s="287"/>
      <c r="F139" s="428">
        <f t="shared" si="16"/>
        <v>0</v>
      </c>
      <c r="G139" s="442" t="e">
        <f t="shared" si="17"/>
        <v>#DIV/0!</v>
      </c>
    </row>
    <row r="140" spans="1:7" ht="11.25">
      <c r="A140" s="439" t="s">
        <v>319</v>
      </c>
      <c r="B140" s="79"/>
      <c r="C140" s="287"/>
      <c r="D140" s="428">
        <f t="shared" si="15"/>
        <v>0</v>
      </c>
      <c r="E140" s="287"/>
      <c r="F140" s="428">
        <f t="shared" si="16"/>
        <v>0</v>
      </c>
      <c r="G140" s="442" t="e">
        <f t="shared" si="17"/>
        <v>#DIV/0!</v>
      </c>
    </row>
    <row r="141" spans="1:7" ht="11.25">
      <c r="A141" s="439" t="s">
        <v>321</v>
      </c>
      <c r="B141" s="79"/>
      <c r="C141" s="287">
        <v>5000</v>
      </c>
      <c r="D141" s="428">
        <f t="shared" si="15"/>
        <v>0.2455178868373687</v>
      </c>
      <c r="E141" s="287">
        <v>5000</v>
      </c>
      <c r="F141" s="428">
        <f t="shared" si="16"/>
        <v>0.24921469471579452</v>
      </c>
      <c r="G141" s="442">
        <f t="shared" si="17"/>
        <v>100</v>
      </c>
    </row>
    <row r="142" spans="1:7" ht="11.25">
      <c r="A142" s="414" t="s">
        <v>296</v>
      </c>
      <c r="B142" s="79"/>
      <c r="C142" s="287">
        <v>300</v>
      </c>
      <c r="D142" s="428">
        <f t="shared" si="15"/>
        <v>0.014731073210242121</v>
      </c>
      <c r="E142" s="287">
        <v>300</v>
      </c>
      <c r="F142" s="428">
        <f t="shared" si="16"/>
        <v>0.01495288168294767</v>
      </c>
      <c r="G142" s="442">
        <f t="shared" si="17"/>
        <v>100</v>
      </c>
    </row>
    <row r="143" spans="1:7" ht="11.25">
      <c r="A143" s="439" t="s">
        <v>320</v>
      </c>
      <c r="B143" s="79"/>
      <c r="C143" s="287"/>
      <c r="D143" s="428">
        <f t="shared" si="15"/>
        <v>0</v>
      </c>
      <c r="E143" s="287"/>
      <c r="F143" s="428">
        <f t="shared" si="16"/>
        <v>0</v>
      </c>
      <c r="G143" s="442" t="e">
        <f t="shared" si="17"/>
        <v>#DIV/0!</v>
      </c>
    </row>
    <row r="144" spans="1:7" ht="11.25">
      <c r="A144" s="414" t="s">
        <v>297</v>
      </c>
      <c r="B144" s="79"/>
      <c r="C144" s="287"/>
      <c r="D144" s="428">
        <f t="shared" si="15"/>
        <v>0</v>
      </c>
      <c r="E144" s="287"/>
      <c r="F144" s="428">
        <f t="shared" si="16"/>
        <v>0</v>
      </c>
      <c r="G144" s="442" t="e">
        <f t="shared" si="17"/>
        <v>#DIV/0!</v>
      </c>
    </row>
    <row r="145" spans="1:7" ht="11.25">
      <c r="A145" s="414" t="s">
        <v>298</v>
      </c>
      <c r="B145" s="79"/>
      <c r="C145" s="287">
        <v>400</v>
      </c>
      <c r="D145" s="428">
        <f t="shared" si="15"/>
        <v>0.0196414309469895</v>
      </c>
      <c r="E145" s="287">
        <v>400</v>
      </c>
      <c r="F145" s="428">
        <f t="shared" si="16"/>
        <v>0.01993717557726356</v>
      </c>
      <c r="G145" s="442">
        <f t="shared" si="17"/>
        <v>100</v>
      </c>
    </row>
    <row r="146" spans="1:7" ht="11.25">
      <c r="A146" s="414" t="s">
        <v>299</v>
      </c>
      <c r="B146" s="79"/>
      <c r="C146" s="287"/>
      <c r="D146" s="428">
        <f t="shared" si="15"/>
        <v>0</v>
      </c>
      <c r="E146" s="287"/>
      <c r="F146" s="428">
        <f t="shared" si="16"/>
        <v>0</v>
      </c>
      <c r="G146" s="442" t="e">
        <f t="shared" si="17"/>
        <v>#DIV/0!</v>
      </c>
    </row>
    <row r="147" spans="1:7" ht="11.25">
      <c r="A147" s="414" t="s">
        <v>300</v>
      </c>
      <c r="B147" s="79"/>
      <c r="C147" s="287"/>
      <c r="D147" s="428">
        <f t="shared" si="15"/>
        <v>0</v>
      </c>
      <c r="E147" s="287"/>
      <c r="F147" s="428">
        <f t="shared" si="16"/>
        <v>0</v>
      </c>
      <c r="G147" s="442" t="e">
        <f t="shared" si="17"/>
        <v>#DIV/0!</v>
      </c>
    </row>
    <row r="148" spans="1:7" ht="11.25">
      <c r="A148" s="414" t="s">
        <v>301</v>
      </c>
      <c r="B148" s="79"/>
      <c r="C148" s="287">
        <v>1920</v>
      </c>
      <c r="D148" s="428">
        <f t="shared" si="15"/>
        <v>0.09427886854554958</v>
      </c>
      <c r="E148" s="287">
        <v>1920</v>
      </c>
      <c r="F148" s="428">
        <f t="shared" si="16"/>
        <v>0.09569844277086509</v>
      </c>
      <c r="G148" s="442">
        <f t="shared" si="17"/>
        <v>100</v>
      </c>
    </row>
    <row r="149" spans="1:7" ht="11.25">
      <c r="A149" s="414" t="s">
        <v>302</v>
      </c>
      <c r="B149" s="79"/>
      <c r="C149" s="287">
        <v>5000</v>
      </c>
      <c r="D149" s="428">
        <f t="shared" si="15"/>
        <v>0.2455178868373687</v>
      </c>
      <c r="E149" s="287">
        <v>5000</v>
      </c>
      <c r="F149" s="428">
        <f t="shared" si="16"/>
        <v>0.24921469471579452</v>
      </c>
      <c r="G149" s="442">
        <f t="shared" si="17"/>
        <v>100</v>
      </c>
    </row>
    <row r="150" spans="1:7" ht="11.25">
      <c r="A150" s="414" t="s">
        <v>303</v>
      </c>
      <c r="B150" s="79"/>
      <c r="C150" s="287">
        <v>1000</v>
      </c>
      <c r="D150" s="428">
        <f t="shared" si="15"/>
        <v>0.04910357736747375</v>
      </c>
      <c r="E150" s="287">
        <v>1000</v>
      </c>
      <c r="F150" s="428">
        <f t="shared" si="16"/>
        <v>0.049842938943158895</v>
      </c>
      <c r="G150" s="442">
        <f t="shared" si="17"/>
        <v>100</v>
      </c>
    </row>
    <row r="151" spans="1:7" ht="11.25">
      <c r="A151" s="414" t="s">
        <v>304</v>
      </c>
      <c r="B151" s="79"/>
      <c r="C151" s="287"/>
      <c r="D151" s="428">
        <f t="shared" si="15"/>
        <v>0</v>
      </c>
      <c r="E151" s="287"/>
      <c r="F151" s="428">
        <f t="shared" si="16"/>
        <v>0</v>
      </c>
      <c r="G151" s="442" t="e">
        <f t="shared" si="17"/>
        <v>#DIV/0!</v>
      </c>
    </row>
    <row r="152" spans="1:7" ht="11.25">
      <c r="A152" s="414" t="s">
        <v>305</v>
      </c>
      <c r="B152" s="79"/>
      <c r="C152" s="287">
        <v>2000</v>
      </c>
      <c r="D152" s="428">
        <f t="shared" si="15"/>
        <v>0.0982071547349475</v>
      </c>
      <c r="E152" s="287">
        <v>2000</v>
      </c>
      <c r="F152" s="428">
        <f t="shared" si="16"/>
        <v>0.09968587788631779</v>
      </c>
      <c r="G152" s="442">
        <f t="shared" si="17"/>
        <v>100</v>
      </c>
    </row>
    <row r="153" spans="1:7" ht="12" thickBot="1">
      <c r="A153" s="79"/>
      <c r="B153" s="79"/>
      <c r="C153" s="287"/>
      <c r="D153" s="428">
        <f t="shared" si="15"/>
        <v>0</v>
      </c>
      <c r="E153" s="287"/>
      <c r="F153" s="428">
        <f t="shared" si="16"/>
        <v>0</v>
      </c>
      <c r="G153" s="442" t="e">
        <f t="shared" si="17"/>
        <v>#DIV/0!</v>
      </c>
    </row>
    <row r="154" spans="1:7" ht="12" thickBot="1">
      <c r="A154" s="302">
        <v>46</v>
      </c>
      <c r="B154" s="316" t="s">
        <v>98</v>
      </c>
      <c r="C154" s="500">
        <f>SUM(C108:C121,C137:C153)</f>
        <v>157220</v>
      </c>
      <c r="D154" s="546">
        <f t="shared" si="15"/>
        <v>7.720064433714222</v>
      </c>
      <c r="E154" s="317">
        <f>SUM(E108:E121,E137:E153)</f>
        <v>157220</v>
      </c>
      <c r="F154" s="546">
        <f t="shared" si="16"/>
        <v>7.836306860643442</v>
      </c>
      <c r="G154" s="547">
        <f t="shared" si="17"/>
        <v>100</v>
      </c>
    </row>
    <row r="155" spans="1:7" ht="11.25">
      <c r="A155" s="79"/>
      <c r="B155" s="79"/>
      <c r="C155" s="79"/>
      <c r="D155" s="79"/>
      <c r="E155" s="79"/>
      <c r="F155" s="79"/>
      <c r="G155" s="313"/>
    </row>
    <row r="156" spans="1:7" ht="12" thickBot="1">
      <c r="A156" s="79"/>
      <c r="B156" s="79"/>
      <c r="C156" s="79"/>
      <c r="D156" s="79"/>
      <c r="E156" s="79"/>
      <c r="F156" s="79"/>
      <c r="G156" s="313"/>
    </row>
    <row r="157" spans="1:7" ht="11.25">
      <c r="A157" s="414" t="s">
        <v>306</v>
      </c>
      <c r="B157" s="79"/>
      <c r="C157" s="440"/>
      <c r="D157" s="360">
        <f>$C157/$C$178*100</f>
        <v>0</v>
      </c>
      <c r="E157" s="529"/>
      <c r="F157" s="360">
        <f>$E157/$E$178*100</f>
        <v>0</v>
      </c>
      <c r="G157" s="383" t="e">
        <f>E157/C157*100</f>
        <v>#DIV/0!</v>
      </c>
    </row>
    <row r="158" spans="1:7" ht="11.25">
      <c r="A158" s="414" t="s">
        <v>307</v>
      </c>
      <c r="B158" s="79"/>
      <c r="C158" s="328"/>
      <c r="D158" s="361">
        <f>$C158/$C$178*100</f>
        <v>0</v>
      </c>
      <c r="E158" s="416"/>
      <c r="F158" s="361">
        <f>$E158/$E$178*100</f>
        <v>0</v>
      </c>
      <c r="G158" s="384" t="e">
        <f>E158/C158*100</f>
        <v>#DIV/0!</v>
      </c>
    </row>
    <row r="159" spans="1:7" ht="11.25">
      <c r="A159" s="414" t="s">
        <v>308</v>
      </c>
      <c r="B159" s="79"/>
      <c r="C159" s="328"/>
      <c r="D159" s="361">
        <f>$C159/$C$178*100</f>
        <v>0</v>
      </c>
      <c r="E159" s="416"/>
      <c r="F159" s="361">
        <f>$E159/$E$178*100</f>
        <v>0</v>
      </c>
      <c r="G159" s="384" t="e">
        <f>E159/C159*100</f>
        <v>#DIV/0!</v>
      </c>
    </row>
    <row r="160" spans="1:7" ht="11.25">
      <c r="A160" s="414" t="s">
        <v>309</v>
      </c>
      <c r="B160" s="79"/>
      <c r="C160" s="331"/>
      <c r="D160" s="361">
        <f>$C160/$C$178*100</f>
        <v>0</v>
      </c>
      <c r="E160" s="333"/>
      <c r="F160" s="361">
        <f>$E160/$E$178*100</f>
        <v>0</v>
      </c>
      <c r="G160" s="384" t="e">
        <f>E160/C160*100</f>
        <v>#DIV/0!</v>
      </c>
    </row>
    <row r="161" spans="1:7" ht="12" thickBot="1">
      <c r="A161" s="414" t="s">
        <v>310</v>
      </c>
      <c r="B161" s="79"/>
      <c r="C161" s="332"/>
      <c r="D161" s="362">
        <f>$C161/$C$178*100</f>
        <v>0</v>
      </c>
      <c r="E161" s="522"/>
      <c r="F161" s="362">
        <f>$E161/$E$178*100</f>
        <v>0</v>
      </c>
      <c r="G161" s="421" t="e">
        <f>E161/C161*100</f>
        <v>#DIV/0!</v>
      </c>
    </row>
    <row r="162" spans="1:7" ht="12" thickBot="1">
      <c r="A162" s="79"/>
      <c r="B162" s="79"/>
      <c r="C162" s="333"/>
      <c r="D162" s="286"/>
      <c r="E162" s="333"/>
      <c r="F162" s="286"/>
      <c r="G162" s="313"/>
    </row>
    <row r="163" spans="1:7" ht="12" thickBot="1">
      <c r="A163" s="302">
        <v>47</v>
      </c>
      <c r="B163" s="316" t="s">
        <v>144</v>
      </c>
      <c r="C163" s="427">
        <f>+SUM(C157:C161)</f>
        <v>0</v>
      </c>
      <c r="D163" s="533">
        <f>$C163/$C$178*100</f>
        <v>0</v>
      </c>
      <c r="E163" s="427">
        <f>+SUM(E157:E161)</f>
        <v>0</v>
      </c>
      <c r="F163" s="363">
        <f>$E163/$E$178*100</f>
        <v>0</v>
      </c>
      <c r="G163" s="389" t="e">
        <f>E163/C163*100</f>
        <v>#DIV/0!</v>
      </c>
    </row>
    <row r="164" spans="1:7" ht="12" thickBot="1">
      <c r="A164" s="302"/>
      <c r="B164" s="316"/>
      <c r="C164" s="333"/>
      <c r="D164" s="286"/>
      <c r="E164" s="333"/>
      <c r="F164" s="286"/>
      <c r="G164" s="313"/>
    </row>
    <row r="165" spans="1:7" ht="11.25">
      <c r="A165" s="414" t="s">
        <v>311</v>
      </c>
      <c r="B165" s="312"/>
      <c r="C165" s="330">
        <v>0</v>
      </c>
      <c r="D165" s="360">
        <f aca="true" t="shared" si="18" ref="D165:D171">$C165/$C$178*100</f>
        <v>0</v>
      </c>
      <c r="E165" s="523">
        <v>0</v>
      </c>
      <c r="F165" s="360">
        <f aca="true" t="shared" si="19" ref="F165:F171">$E165/$E$178*100</f>
        <v>0</v>
      </c>
      <c r="G165" s="383" t="e">
        <f aca="true" t="shared" si="20" ref="G165:G171">E165/C165*100</f>
        <v>#DIV/0!</v>
      </c>
    </row>
    <row r="166" spans="1:7" ht="11.25">
      <c r="A166" s="414" t="s">
        <v>312</v>
      </c>
      <c r="B166" s="312"/>
      <c r="C166" s="331"/>
      <c r="D166" s="361">
        <f t="shared" si="18"/>
        <v>0</v>
      </c>
      <c r="E166" s="333"/>
      <c r="F166" s="361">
        <f t="shared" si="19"/>
        <v>0</v>
      </c>
      <c r="G166" s="384" t="e">
        <f t="shared" si="20"/>
        <v>#DIV/0!</v>
      </c>
    </row>
    <row r="167" spans="1:7" ht="11.25">
      <c r="A167" s="414" t="s">
        <v>313</v>
      </c>
      <c r="B167" s="312"/>
      <c r="C167" s="331"/>
      <c r="D167" s="361">
        <f t="shared" si="18"/>
        <v>0</v>
      </c>
      <c r="E167" s="333"/>
      <c r="F167" s="361">
        <f t="shared" si="19"/>
        <v>0</v>
      </c>
      <c r="G167" s="384" t="e">
        <f t="shared" si="20"/>
        <v>#DIV/0!</v>
      </c>
    </row>
    <row r="168" spans="1:7" ht="12" thickBot="1">
      <c r="A168" s="414" t="s">
        <v>314</v>
      </c>
      <c r="B168" s="79"/>
      <c r="C168" s="332"/>
      <c r="D168" s="362">
        <f t="shared" si="18"/>
        <v>0</v>
      </c>
      <c r="E168" s="522"/>
      <c r="F168" s="362">
        <f t="shared" si="19"/>
        <v>0</v>
      </c>
      <c r="G168" s="421" t="e">
        <f t="shared" si="20"/>
        <v>#DIV/0!</v>
      </c>
    </row>
    <row r="169" spans="1:7" ht="11.25">
      <c r="A169" s="79"/>
      <c r="B169" s="79"/>
      <c r="C169" s="333"/>
      <c r="D169" s="336"/>
      <c r="E169" s="333"/>
      <c r="F169" s="336"/>
      <c r="G169" s="313"/>
    </row>
    <row r="170" spans="1:7" ht="12" thickBot="1">
      <c r="A170" s="79"/>
      <c r="B170" s="79"/>
      <c r="C170" s="333"/>
      <c r="D170" s="336"/>
      <c r="E170" s="333"/>
      <c r="F170" s="336"/>
      <c r="G170" s="313"/>
    </row>
    <row r="171" spans="1:7" ht="12" thickBot="1">
      <c r="A171" s="316">
        <v>48</v>
      </c>
      <c r="B171" s="316" t="s">
        <v>122</v>
      </c>
      <c r="C171" s="500">
        <f>+SUM(C165:C170)</f>
        <v>0</v>
      </c>
      <c r="D171" s="363">
        <f t="shared" si="18"/>
        <v>0</v>
      </c>
      <c r="E171" s="500">
        <f>+SUM(E165:E170)</f>
        <v>0</v>
      </c>
      <c r="F171" s="363">
        <f t="shared" si="19"/>
        <v>0</v>
      </c>
      <c r="G171" s="389" t="e">
        <f t="shared" si="20"/>
        <v>#DIV/0!</v>
      </c>
    </row>
    <row r="172" spans="1:7" ht="12" thickBot="1">
      <c r="A172" s="79"/>
      <c r="B172" s="79"/>
      <c r="C172" s="79"/>
      <c r="D172" s="286"/>
      <c r="E172" s="79"/>
      <c r="F172" s="286"/>
      <c r="G172" s="313"/>
    </row>
    <row r="173" spans="1:7" ht="11.25">
      <c r="A173" s="414" t="s">
        <v>315</v>
      </c>
      <c r="B173" s="79"/>
      <c r="C173" s="523"/>
      <c r="D173" s="360">
        <f>$C173/$C$178*100</f>
        <v>0</v>
      </c>
      <c r="E173" s="523"/>
      <c r="F173" s="360">
        <f>$E173/$E$178*100</f>
        <v>0</v>
      </c>
      <c r="G173" s="383" t="e">
        <f>E173/C173*100</f>
        <v>#DIV/0!</v>
      </c>
    </row>
    <row r="174" spans="1:7" ht="12" thickBot="1">
      <c r="A174" s="414" t="s">
        <v>316</v>
      </c>
      <c r="B174" s="79"/>
      <c r="C174" s="532">
        <v>22000</v>
      </c>
      <c r="D174" s="362">
        <f>$C174/$C$178*100</f>
        <v>1.0802787020844224</v>
      </c>
      <c r="E174" s="532">
        <v>22000</v>
      </c>
      <c r="F174" s="362">
        <f>$E174/$E$178*100</f>
        <v>1.0965446567494959</v>
      </c>
      <c r="G174" s="421">
        <f>E174/C174*100</f>
        <v>100</v>
      </c>
    </row>
    <row r="175" spans="1:7" ht="12" thickBot="1">
      <c r="A175" s="79"/>
      <c r="B175" s="79"/>
      <c r="C175" s="511"/>
      <c r="D175" s="286"/>
      <c r="E175" s="511"/>
      <c r="F175" s="286"/>
      <c r="G175" s="313"/>
    </row>
    <row r="176" spans="1:7" ht="12" thickBot="1">
      <c r="A176" s="302">
        <v>71</v>
      </c>
      <c r="B176" s="79"/>
      <c r="C176" s="534">
        <f>+SUM(C173:C174)</f>
        <v>22000</v>
      </c>
      <c r="D176" s="525">
        <f>$C176/$C$178*100</f>
        <v>1.0802787020844224</v>
      </c>
      <c r="E176" s="534">
        <f>+SUM(E173:E174)</f>
        <v>22000</v>
      </c>
      <c r="F176" s="525">
        <f>$E176/$E$178*100</f>
        <v>1.0965446567494959</v>
      </c>
      <c r="G176" s="389">
        <f>E176/C176*100</f>
        <v>100</v>
      </c>
    </row>
    <row r="177" spans="1:7" s="321" customFormat="1" ht="12" thickBot="1">
      <c r="A177" s="416"/>
      <c r="B177" s="416"/>
      <c r="C177" s="329"/>
      <c r="D177" s="336"/>
      <c r="E177" s="329"/>
      <c r="F177" s="336"/>
      <c r="G177" s="313"/>
    </row>
    <row r="178" spans="1:7" ht="12" thickBot="1">
      <c r="A178" s="79"/>
      <c r="B178" s="316" t="s">
        <v>102</v>
      </c>
      <c r="C178" s="317">
        <f>C37+C89+C91+C104+C106+C154+C163+C171+C176</f>
        <v>2036511.5</v>
      </c>
      <c r="D178" s="525">
        <f>$C178/$C$178*100</f>
        <v>100</v>
      </c>
      <c r="E178" s="317">
        <f>+SUM(E171,E154,E106,E104,E91,E89,E37,E173,E174,E163)</f>
        <v>2006302.239</v>
      </c>
      <c r="F178" s="525">
        <f>$E178/$E$178*100</f>
        <v>100</v>
      </c>
      <c r="G178" s="389">
        <f>E178/C178*100</f>
        <v>98.51661721527229</v>
      </c>
    </row>
    <row r="179" spans="1:7" ht="11.25">
      <c r="A179" s="79"/>
      <c r="B179" s="302"/>
      <c r="C179" s="181"/>
      <c r="D179" s="305"/>
      <c r="E179" s="181"/>
      <c r="F179" s="187"/>
      <c r="G179" s="337"/>
    </row>
    <row r="180" ht="11.25">
      <c r="A180" s="79"/>
    </row>
    <row r="182" ht="11.25">
      <c r="C182" s="122"/>
    </row>
    <row r="183" ht="11.25">
      <c r="C183" s="122"/>
    </row>
    <row r="184" ht="11.25">
      <c r="C184" s="122"/>
    </row>
    <row r="185" ht="11.25">
      <c r="C185" s="122"/>
    </row>
    <row r="189" ht="11.25">
      <c r="E189" s="169" t="e">
        <f>E178+'PJ-PiJP-rashod-ok'!#REF!+'PJ-GiPU-rashod-ok'!#REF!+'PJ PARKING RASHOD'!#REF!+'PJ-ZS-rashod-ok'!#REF!</f>
        <v>#REF!</v>
      </c>
    </row>
    <row r="200" ht="11.25">
      <c r="C200" s="122"/>
    </row>
    <row r="223" spans="6:7" ht="11.25">
      <c r="F223" s="182"/>
      <c r="G223" s="338"/>
    </row>
    <row r="224" spans="2:7" ht="11.25">
      <c r="B224" s="339"/>
      <c r="C224" s="20"/>
      <c r="F224" s="182"/>
      <c r="G224" s="338"/>
    </row>
    <row r="225" spans="2:7" ht="11.25">
      <c r="B225" s="339"/>
      <c r="F225" s="182"/>
      <c r="G225" s="169"/>
    </row>
    <row r="226" spans="3:7" ht="11.25">
      <c r="C226" s="324"/>
      <c r="D226" s="340"/>
      <c r="F226" s="182"/>
      <c r="G226" s="169"/>
    </row>
    <row r="227" spans="6:7" ht="11.25">
      <c r="F227" s="182"/>
      <c r="G227" s="169"/>
    </row>
    <row r="228" spans="3:7" ht="11.25">
      <c r="C228" s="324"/>
      <c r="D228" s="341"/>
      <c r="F228" s="182"/>
      <c r="G228" s="169"/>
    </row>
    <row r="229" spans="1:2" ht="11.25">
      <c r="A229" s="342"/>
      <c r="B229" s="343"/>
    </row>
    <row r="230" ht="11.25">
      <c r="C230" s="324"/>
    </row>
    <row r="231" spans="2:7" ht="11.25">
      <c r="B231" s="20"/>
      <c r="C231" s="344"/>
      <c r="D231" s="20"/>
      <c r="E231" s="20"/>
      <c r="F231" s="20"/>
      <c r="G231" s="20"/>
    </row>
    <row r="257" ht="11.25">
      <c r="G257" s="182"/>
    </row>
    <row r="258" ht="11.25">
      <c r="G258" s="182"/>
    </row>
    <row r="259" ht="11.25">
      <c r="G259" s="182"/>
    </row>
    <row r="260" ht="11.25">
      <c r="G260" s="182"/>
    </row>
    <row r="261" ht="11.25">
      <c r="G261" s="182"/>
    </row>
    <row r="262" ht="11.25">
      <c r="G262" s="182"/>
    </row>
    <row r="263" ht="11.25">
      <c r="G263" s="182"/>
    </row>
    <row r="264" ht="11.25">
      <c r="G264" s="182"/>
    </row>
    <row r="265" ht="11.25">
      <c r="G265" s="182"/>
    </row>
    <row r="266" ht="11.25">
      <c r="G266" s="182"/>
    </row>
    <row r="267" ht="11.25">
      <c r="G267" s="182"/>
    </row>
    <row r="268" ht="11.25">
      <c r="G268" s="182"/>
    </row>
    <row r="269" ht="11.25">
      <c r="G269" s="182"/>
    </row>
    <row r="270" ht="11.25">
      <c r="G270" s="182"/>
    </row>
    <row r="271" ht="11.25">
      <c r="G271" s="182"/>
    </row>
    <row r="272" ht="11.25">
      <c r="G272" s="182"/>
    </row>
    <row r="273" ht="11.25">
      <c r="G273" s="182"/>
    </row>
    <row r="274" ht="11.25">
      <c r="G274" s="182"/>
    </row>
    <row r="275" ht="11.25">
      <c r="G275" s="182"/>
    </row>
    <row r="276" ht="11.25">
      <c r="G276" s="182"/>
    </row>
    <row r="277" ht="11.25">
      <c r="G277" s="182"/>
    </row>
    <row r="278" ht="11.25">
      <c r="G278" s="182"/>
    </row>
    <row r="279" ht="11.25">
      <c r="G279" s="182"/>
    </row>
    <row r="280" ht="11.25">
      <c r="G280" s="182"/>
    </row>
    <row r="281" ht="11.25">
      <c r="G281" s="182"/>
    </row>
    <row r="282" ht="11.25">
      <c r="G282" s="182"/>
    </row>
    <row r="283" ht="11.25">
      <c r="G283" s="182"/>
    </row>
    <row r="284" ht="11.25">
      <c r="G284" s="182"/>
    </row>
    <row r="285" ht="11.25">
      <c r="G285" s="182"/>
    </row>
    <row r="286" ht="11.25">
      <c r="G286" s="182"/>
    </row>
    <row r="287" ht="11.25">
      <c r="G287" s="182"/>
    </row>
    <row r="288" ht="11.25">
      <c r="G288" s="182"/>
    </row>
    <row r="289" ht="11.25">
      <c r="G289" s="182"/>
    </row>
    <row r="290" ht="11.25">
      <c r="G290" s="182"/>
    </row>
    <row r="291" ht="11.25">
      <c r="G291" s="182"/>
    </row>
    <row r="292" ht="11.25">
      <c r="G292" s="182"/>
    </row>
    <row r="293" ht="11.25">
      <c r="G293" s="182"/>
    </row>
    <row r="294" ht="11.25">
      <c r="G294" s="182"/>
    </row>
    <row r="295" ht="11.25">
      <c r="G295" s="182"/>
    </row>
    <row r="296" ht="11.25">
      <c r="G296" s="182"/>
    </row>
    <row r="297" ht="11.25">
      <c r="G297" s="182"/>
    </row>
    <row r="298" ht="11.25">
      <c r="G298" s="182"/>
    </row>
    <row r="299" ht="11.25">
      <c r="G299" s="182"/>
    </row>
    <row r="300" ht="11.25">
      <c r="G300" s="182"/>
    </row>
    <row r="301" ht="11.25">
      <c r="G301" s="182"/>
    </row>
    <row r="302" ht="11.25">
      <c r="G302" s="182"/>
    </row>
    <row r="303" ht="11.25">
      <c r="G303" s="182"/>
    </row>
    <row r="304" ht="11.25">
      <c r="G304" s="182"/>
    </row>
    <row r="305" ht="11.25">
      <c r="G305" s="182"/>
    </row>
    <row r="306" ht="11.25">
      <c r="G306" s="182"/>
    </row>
    <row r="307" ht="11.25">
      <c r="G307" s="182"/>
    </row>
    <row r="308" ht="11.25">
      <c r="G308" s="182"/>
    </row>
    <row r="309" ht="11.25">
      <c r="G309" s="182"/>
    </row>
    <row r="310" ht="11.25">
      <c r="G310" s="182"/>
    </row>
    <row r="311" ht="11.25">
      <c r="G311" s="182"/>
    </row>
    <row r="312" ht="11.25">
      <c r="G312" s="182"/>
    </row>
    <row r="313" ht="11.25">
      <c r="G313" s="182"/>
    </row>
    <row r="314" ht="11.25">
      <c r="G314" s="182"/>
    </row>
    <row r="315" ht="11.25">
      <c r="G315" s="182"/>
    </row>
    <row r="316" ht="11.25">
      <c r="G316" s="182"/>
    </row>
    <row r="317" ht="11.25">
      <c r="G317" s="182"/>
    </row>
    <row r="318" ht="11.25">
      <c r="G318" s="182"/>
    </row>
    <row r="319" ht="11.25">
      <c r="G319" s="182"/>
    </row>
    <row r="320" ht="11.25">
      <c r="G320" s="182"/>
    </row>
    <row r="321" ht="11.25">
      <c r="G321" s="182"/>
    </row>
    <row r="322" ht="11.25">
      <c r="G322" s="182"/>
    </row>
    <row r="323" ht="11.25">
      <c r="G323" s="182"/>
    </row>
    <row r="324" ht="11.25">
      <c r="G324" s="182"/>
    </row>
    <row r="325" ht="11.25">
      <c r="G325" s="182"/>
    </row>
    <row r="326" ht="11.25">
      <c r="G326" s="182"/>
    </row>
    <row r="327" ht="11.25">
      <c r="G327" s="182"/>
    </row>
    <row r="328" ht="11.25">
      <c r="G328" s="182"/>
    </row>
    <row r="329" ht="11.25">
      <c r="G329" s="182"/>
    </row>
    <row r="330" ht="11.25">
      <c r="G330" s="182"/>
    </row>
    <row r="331" ht="11.25">
      <c r="G331" s="182"/>
    </row>
    <row r="332" ht="11.25">
      <c r="G332" s="182"/>
    </row>
    <row r="333" ht="11.25">
      <c r="G333" s="182"/>
    </row>
    <row r="334" ht="11.25">
      <c r="G334" s="182"/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  <row r="349" ht="11.25">
      <c r="G349" s="182"/>
    </row>
    <row r="350" ht="11.25">
      <c r="G350" s="182"/>
    </row>
    <row r="351" ht="11.25">
      <c r="G351" s="182"/>
    </row>
    <row r="352" ht="11.25">
      <c r="G352" s="182"/>
    </row>
    <row r="353" ht="11.25">
      <c r="G353" s="182"/>
    </row>
    <row r="354" ht="11.25">
      <c r="G354" s="182"/>
    </row>
    <row r="355" ht="11.25">
      <c r="G355" s="182"/>
    </row>
    <row r="356" ht="11.25">
      <c r="G356" s="182"/>
    </row>
    <row r="357" ht="11.25">
      <c r="G357" s="182"/>
    </row>
    <row r="358" ht="11.25">
      <c r="G358" s="182"/>
    </row>
    <row r="359" ht="11.25">
      <c r="G359" s="182"/>
    </row>
    <row r="360" ht="11.25">
      <c r="G360" s="182"/>
    </row>
    <row r="361" ht="11.25">
      <c r="G361" s="182"/>
    </row>
    <row r="362" ht="11.25">
      <c r="G362" s="182"/>
    </row>
    <row r="363" ht="11.25">
      <c r="G363" s="182"/>
    </row>
    <row r="364" ht="11.25">
      <c r="G364" s="182"/>
    </row>
    <row r="365" ht="11.25">
      <c r="G365" s="182"/>
    </row>
    <row r="366" ht="11.25">
      <c r="G366" s="182"/>
    </row>
    <row r="367" ht="11.25">
      <c r="G367" s="182"/>
    </row>
    <row r="368" ht="11.25">
      <c r="G368" s="182"/>
    </row>
    <row r="369" ht="11.25">
      <c r="G369" s="182"/>
    </row>
    <row r="370" ht="11.25">
      <c r="G370" s="182"/>
    </row>
    <row r="371" ht="11.25">
      <c r="G371" s="182"/>
    </row>
  </sheetData>
  <sheetProtection/>
  <hyperlinks>
    <hyperlink ref="B6" r:id="rId1" display="www.ivanj.net"/>
    <hyperlink ref="B63" r:id="rId2" display="www.ivanj.net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G53"/>
  <sheetViews>
    <sheetView zoomScalePageLayoutView="0" workbookViewId="0" topLeftCell="A4">
      <selection activeCell="I4" sqref="I1:Q16384"/>
    </sheetView>
  </sheetViews>
  <sheetFormatPr defaultColWidth="9.140625" defaultRowHeight="12.75"/>
  <cols>
    <col min="1" max="1" width="4.140625" style="34" customWidth="1"/>
    <col min="2" max="2" width="36.421875" style="34" customWidth="1"/>
    <col min="3" max="3" width="13.57421875" style="34" customWidth="1"/>
    <col min="4" max="4" width="7.00390625" style="34" bestFit="1" customWidth="1"/>
    <col min="5" max="5" width="14.8515625" style="34" bestFit="1" customWidth="1"/>
    <col min="6" max="7" width="8.7109375" style="34" customWidth="1"/>
    <col min="8" max="16384" width="9.140625" style="34" customWidth="1"/>
  </cols>
  <sheetData>
    <row r="1" spans="2:7" ht="13.5">
      <c r="B1" s="35" t="s">
        <v>166</v>
      </c>
      <c r="F1"/>
      <c r="G1" s="50" t="s">
        <v>360</v>
      </c>
    </row>
    <row r="2" spans="2:7" ht="13.5">
      <c r="B2" s="37" t="s">
        <v>33</v>
      </c>
      <c r="C2" s="34" t="s">
        <v>218</v>
      </c>
      <c r="F2" s="45"/>
      <c r="G2" s="108"/>
    </row>
    <row r="3" spans="1:7" ht="13.5">
      <c r="A3" s="162"/>
      <c r="B3" s="37" t="s">
        <v>34</v>
      </c>
      <c r="C3" s="34" t="s">
        <v>219</v>
      </c>
      <c r="F3" s="45"/>
      <c r="G3" s="108"/>
    </row>
    <row r="4" spans="2:7" ht="18">
      <c r="B4" s="38" t="s">
        <v>35</v>
      </c>
      <c r="C4" s="34" t="s">
        <v>220</v>
      </c>
      <c r="F4" s="51"/>
      <c r="G4" s="41"/>
    </row>
    <row r="5" spans="3:7" ht="13.5">
      <c r="C5" s="34" t="s">
        <v>378</v>
      </c>
      <c r="F5" s="48"/>
      <c r="G5" s="41"/>
    </row>
    <row r="6" spans="1:7" ht="13.5">
      <c r="A6" s="149"/>
      <c r="B6" s="124" t="s">
        <v>79</v>
      </c>
      <c r="C6" s="45"/>
      <c r="D6" s="45"/>
      <c r="E6" s="45"/>
      <c r="F6" s="48"/>
      <c r="G6" s="41"/>
    </row>
    <row r="7" ht="16.5">
      <c r="B7" s="39" t="s">
        <v>374</v>
      </c>
    </row>
    <row r="9" ht="16.5">
      <c r="B9" s="62" t="s">
        <v>150</v>
      </c>
    </row>
    <row r="12" ht="13.5">
      <c r="B12" s="85" t="s">
        <v>84</v>
      </c>
    </row>
    <row r="15" spans="1:6" ht="13.5">
      <c r="A15" s="191" t="s">
        <v>66</v>
      </c>
      <c r="B15" s="190" t="s">
        <v>101</v>
      </c>
      <c r="E15" s="176">
        <f>+E33</f>
        <v>1805000</v>
      </c>
      <c r="F15" s="159" t="s">
        <v>82</v>
      </c>
    </row>
    <row r="17" spans="1:7" ht="13.5">
      <c r="A17" s="122">
        <v>1</v>
      </c>
      <c r="B17" s="122">
        <v>2</v>
      </c>
      <c r="C17" s="122">
        <v>3</v>
      </c>
      <c r="D17" s="122">
        <v>4</v>
      </c>
      <c r="E17" s="122">
        <v>5</v>
      </c>
      <c r="F17" s="122">
        <v>6</v>
      </c>
      <c r="G17" s="122">
        <v>7</v>
      </c>
    </row>
    <row r="18" spans="3:4" ht="14.25" thickBot="1">
      <c r="C18" s="64"/>
      <c r="D18" s="64"/>
    </row>
    <row r="19" spans="1:7" ht="13.5">
      <c r="A19" s="111"/>
      <c r="B19" s="110"/>
      <c r="C19" s="95" t="s">
        <v>363</v>
      </c>
      <c r="D19" s="548" t="s">
        <v>28</v>
      </c>
      <c r="E19" s="570" t="s">
        <v>382</v>
      </c>
      <c r="F19" s="550" t="s">
        <v>28</v>
      </c>
      <c r="G19" s="394" t="s">
        <v>13</v>
      </c>
    </row>
    <row r="20" spans="1:7" ht="14.25" thickBot="1">
      <c r="A20" s="64"/>
      <c r="B20" s="64"/>
      <c r="C20" s="96" t="s">
        <v>16</v>
      </c>
      <c r="D20" s="549" t="s">
        <v>15</v>
      </c>
      <c r="E20" s="96" t="s">
        <v>16</v>
      </c>
      <c r="F20" s="551" t="s">
        <v>15</v>
      </c>
      <c r="G20" s="541" t="s">
        <v>40</v>
      </c>
    </row>
    <row r="21" spans="1:6" ht="14.25" thickBot="1">
      <c r="A21" s="64"/>
      <c r="B21" s="64"/>
      <c r="C21" s="100"/>
      <c r="D21" s="60"/>
      <c r="E21" s="100"/>
      <c r="F21" s="100"/>
    </row>
    <row r="22" spans="1:7" ht="13.5">
      <c r="A22" s="109" t="s">
        <v>0</v>
      </c>
      <c r="B22" s="132" t="s">
        <v>72</v>
      </c>
      <c r="C22" s="114">
        <v>618345</v>
      </c>
      <c r="D22" s="454">
        <f>+C22/C$33*100</f>
        <v>34.12980303519535</v>
      </c>
      <c r="E22" s="114">
        <v>620000</v>
      </c>
      <c r="F22" s="114">
        <f aca="true" t="shared" si="0" ref="F22:F30">+E22/E$33*100</f>
        <v>34.34903047091413</v>
      </c>
      <c r="G22" s="552">
        <f aca="true" t="shared" si="1" ref="G22:G30">+E22/C22*100</f>
        <v>100.26764993652411</v>
      </c>
    </row>
    <row r="23" spans="1:7" ht="13.5">
      <c r="A23" s="109" t="s">
        <v>1</v>
      </c>
      <c r="B23" s="132" t="s">
        <v>73</v>
      </c>
      <c r="C23" s="43">
        <f>+SUM(C24:C25)</f>
        <v>600600</v>
      </c>
      <c r="D23" s="428">
        <f aca="true" t="shared" si="2" ref="D23:D30">+C23/C$33*100</f>
        <v>33.15036056398665</v>
      </c>
      <c r="E23" s="43">
        <f>+SUM(E24:E25)</f>
        <v>595000</v>
      </c>
      <c r="F23" s="115">
        <f t="shared" si="0"/>
        <v>32.96398891966759</v>
      </c>
      <c r="G23" s="116">
        <f t="shared" si="1"/>
        <v>99.06759906759906</v>
      </c>
    </row>
    <row r="24" spans="1:7" ht="13.5">
      <c r="A24" s="192" t="s">
        <v>62</v>
      </c>
      <c r="B24" s="192" t="s">
        <v>51</v>
      </c>
      <c r="C24" s="346">
        <v>395850</v>
      </c>
      <c r="D24" s="428">
        <f t="shared" si="2"/>
        <v>21.849101280809386</v>
      </c>
      <c r="E24" s="346">
        <v>395000</v>
      </c>
      <c r="F24" s="116">
        <f t="shared" si="0"/>
        <v>21.88365650969529</v>
      </c>
      <c r="G24" s="116">
        <f t="shared" si="1"/>
        <v>99.7852721990653</v>
      </c>
    </row>
    <row r="25" spans="1:7" ht="13.5">
      <c r="A25" s="192" t="s">
        <v>63</v>
      </c>
      <c r="B25" s="208" t="s">
        <v>52</v>
      </c>
      <c r="C25" s="287">
        <v>204750</v>
      </c>
      <c r="D25" s="428">
        <f t="shared" si="2"/>
        <v>11.301259283177268</v>
      </c>
      <c r="E25" s="346">
        <v>200000</v>
      </c>
      <c r="F25" s="116">
        <f t="shared" si="0"/>
        <v>11.080332409972298</v>
      </c>
      <c r="G25" s="116">
        <f t="shared" si="1"/>
        <v>97.68009768009767</v>
      </c>
    </row>
    <row r="26" spans="1:7" ht="13.5">
      <c r="A26" s="109" t="s">
        <v>2</v>
      </c>
      <c r="B26" s="92" t="s">
        <v>103</v>
      </c>
      <c r="C26" s="115">
        <v>60000</v>
      </c>
      <c r="D26" s="428">
        <f t="shared" si="2"/>
        <v>3.3117243320665986</v>
      </c>
      <c r="E26" s="115">
        <v>60000</v>
      </c>
      <c r="F26" s="115">
        <f t="shared" si="0"/>
        <v>3.32409972299169</v>
      </c>
      <c r="G26" s="116">
        <f t="shared" si="1"/>
        <v>100</v>
      </c>
    </row>
    <row r="27" spans="1:7" ht="13.5">
      <c r="A27" s="40" t="s">
        <v>3</v>
      </c>
      <c r="B27" s="92" t="s">
        <v>104</v>
      </c>
      <c r="C27" s="115">
        <v>352800</v>
      </c>
      <c r="D27" s="428">
        <f t="shared" si="2"/>
        <v>19.4729390725516</v>
      </c>
      <c r="E27" s="346">
        <v>350000</v>
      </c>
      <c r="F27" s="115">
        <f t="shared" si="0"/>
        <v>19.390581717451525</v>
      </c>
      <c r="G27" s="116">
        <f t="shared" si="1"/>
        <v>99.20634920634922</v>
      </c>
    </row>
    <row r="28" spans="1:7" ht="13.5">
      <c r="A28" s="75" t="s">
        <v>4</v>
      </c>
      <c r="B28" s="92" t="s">
        <v>155</v>
      </c>
      <c r="C28" s="115">
        <v>0</v>
      </c>
      <c r="D28" s="428">
        <f t="shared" si="2"/>
        <v>0</v>
      </c>
      <c r="E28" s="115">
        <v>0</v>
      </c>
      <c r="F28" s="115">
        <f t="shared" si="0"/>
        <v>0</v>
      </c>
      <c r="G28" s="116" t="e">
        <f t="shared" si="1"/>
        <v>#DIV/0!</v>
      </c>
    </row>
    <row r="29" spans="1:7" ht="13.5">
      <c r="A29" s="75" t="s">
        <v>5</v>
      </c>
      <c r="B29" s="92" t="s">
        <v>83</v>
      </c>
      <c r="C29" s="115">
        <v>120000</v>
      </c>
      <c r="D29" s="428">
        <f t="shared" si="2"/>
        <v>6.623448664133197</v>
      </c>
      <c r="E29" s="115">
        <v>120000</v>
      </c>
      <c r="F29" s="115">
        <f t="shared" si="0"/>
        <v>6.64819944598338</v>
      </c>
      <c r="G29" s="116">
        <f t="shared" si="1"/>
        <v>100</v>
      </c>
    </row>
    <row r="30" spans="1:7" ht="14.25" thickBot="1">
      <c r="A30" s="75" t="s">
        <v>6</v>
      </c>
      <c r="B30" s="35" t="s">
        <v>165</v>
      </c>
      <c r="C30" s="141">
        <v>60000</v>
      </c>
      <c r="D30" s="429">
        <f t="shared" si="2"/>
        <v>3.3117243320665986</v>
      </c>
      <c r="E30" s="141">
        <v>60000</v>
      </c>
      <c r="F30" s="141">
        <f t="shared" si="0"/>
        <v>3.32409972299169</v>
      </c>
      <c r="G30" s="483">
        <f t="shared" si="1"/>
        <v>100</v>
      </c>
    </row>
    <row r="31" spans="2:7" ht="13.5">
      <c r="B31" s="132"/>
      <c r="C31" s="180"/>
      <c r="D31" s="199"/>
      <c r="E31" s="97"/>
      <c r="F31" s="99"/>
      <c r="G31" s="99"/>
    </row>
    <row r="32" spans="1:7" ht="14.25" thickBot="1">
      <c r="A32" s="35"/>
      <c r="B32" s="92"/>
      <c r="C32" s="180"/>
      <c r="D32" s="199"/>
      <c r="E32" s="97"/>
      <c r="F32" s="99"/>
      <c r="G32" s="99"/>
    </row>
    <row r="33" spans="1:7" ht="14.25" thickBot="1">
      <c r="A33" s="120"/>
      <c r="B33" s="121" t="s">
        <v>65</v>
      </c>
      <c r="C33" s="553">
        <f>+SUM(C22:C23,C26:C30)</f>
        <v>1811745</v>
      </c>
      <c r="D33" s="554">
        <f>+SUM(D22:D32)-D24-D25</f>
        <v>100</v>
      </c>
      <c r="E33" s="112">
        <f>+SUM(E26:E30)+SUM(E22:E23)</f>
        <v>1805000</v>
      </c>
      <c r="F33" s="462">
        <f>+SUM(F22:F32)-F24-F25</f>
        <v>100.00000000000001</v>
      </c>
      <c r="G33" s="555">
        <f>+E33/C33*100</f>
        <v>99.62770698967019</v>
      </c>
    </row>
    <row r="34" spans="1:7" ht="13.5">
      <c r="A34" s="40"/>
      <c r="B34" s="40"/>
      <c r="C34" s="41"/>
      <c r="D34" s="41"/>
      <c r="E34" s="118"/>
      <c r="F34" s="118"/>
      <c r="G34" s="99"/>
    </row>
    <row r="35" spans="1:7" ht="14.25" thickBot="1">
      <c r="A35" s="40"/>
      <c r="B35" s="40"/>
      <c r="C35" s="41"/>
      <c r="D35" s="41"/>
      <c r="E35" s="118"/>
      <c r="F35" s="118"/>
      <c r="G35" s="99"/>
    </row>
    <row r="36" spans="1:7" ht="14.25" thickBot="1">
      <c r="A36" s="178" t="s">
        <v>67</v>
      </c>
      <c r="B36" s="184" t="s">
        <v>99</v>
      </c>
      <c r="C36" s="41"/>
      <c r="D36" s="41"/>
      <c r="E36" s="113">
        <f>'PJ-GiPU-rashod-ok'!E178</f>
        <v>1226709.007</v>
      </c>
      <c r="F36" s="185" t="s">
        <v>82</v>
      </c>
      <c r="G36" s="99"/>
    </row>
    <row r="37" spans="3:7" ht="13.5">
      <c r="C37" s="41"/>
      <c r="D37" s="41"/>
      <c r="E37" s="41"/>
      <c r="F37" s="41"/>
      <c r="G37" s="99"/>
    </row>
    <row r="38" spans="1:7" ht="13.5">
      <c r="A38" s="193"/>
      <c r="B38" s="154" t="s">
        <v>105</v>
      </c>
      <c r="C38" s="41"/>
      <c r="D38" s="41"/>
      <c r="E38" s="135">
        <f>+E33-E36</f>
        <v>578290.993</v>
      </c>
      <c r="F38" s="136" t="s">
        <v>82</v>
      </c>
      <c r="G38" s="99"/>
    </row>
    <row r="39" spans="1:7" ht="13.5">
      <c r="A39" s="109"/>
      <c r="C39" s="180"/>
      <c r="D39" s="181"/>
      <c r="E39" s="97"/>
      <c r="F39" s="99"/>
      <c r="G39" s="99"/>
    </row>
    <row r="40" spans="1:7" ht="13.5">
      <c r="A40" s="109"/>
      <c r="C40" s="180"/>
      <c r="D40" s="181"/>
      <c r="E40" s="97"/>
      <c r="F40" s="99"/>
      <c r="G40" s="99"/>
    </row>
    <row r="41" spans="1:7" ht="13.5">
      <c r="A41" s="109"/>
      <c r="C41" s="180"/>
      <c r="D41" s="181"/>
      <c r="E41" s="97"/>
      <c r="F41" s="99"/>
      <c r="G41" s="99"/>
    </row>
    <row r="42" spans="1:7" ht="13.5">
      <c r="A42" s="109"/>
      <c r="C42" s="99"/>
      <c r="D42" s="67"/>
      <c r="E42" s="97"/>
      <c r="F42" s="99"/>
      <c r="G42" s="99"/>
    </row>
    <row r="53" ht="13.5">
      <c r="C53" s="122"/>
    </row>
  </sheetData>
  <sheetProtection/>
  <hyperlinks>
    <hyperlink ref="B6" r:id="rId1" display="www.ivanj.net"/>
  </hyperlinks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J371"/>
  <sheetViews>
    <sheetView zoomScalePageLayoutView="0" workbookViewId="0" topLeftCell="A85">
      <selection activeCell="A122" sqref="A122:B122"/>
    </sheetView>
  </sheetViews>
  <sheetFormatPr defaultColWidth="8.8515625" defaultRowHeight="12.75"/>
  <cols>
    <col min="1" max="1" width="7.7109375" style="161" customWidth="1"/>
    <col min="2" max="2" width="36.28125" style="161" customWidth="1"/>
    <col min="3" max="3" width="14.57421875" style="161" customWidth="1"/>
    <col min="4" max="4" width="7.00390625" style="161" bestFit="1" customWidth="1"/>
    <col min="5" max="5" width="13.00390625" style="161" bestFit="1" customWidth="1"/>
    <col min="6" max="6" width="7.00390625" style="161" bestFit="1" customWidth="1"/>
    <col min="7" max="7" width="8.7109375" style="161" customWidth="1"/>
    <col min="8" max="16384" width="8.8515625" style="161" customWidth="1"/>
  </cols>
  <sheetData>
    <row r="1" spans="1:7" ht="13.5">
      <c r="A1" s="34"/>
      <c r="B1" s="35" t="s">
        <v>166</v>
      </c>
      <c r="C1" s="34"/>
      <c r="D1" s="34"/>
      <c r="E1" s="34"/>
      <c r="F1"/>
      <c r="G1" s="304" t="s">
        <v>348</v>
      </c>
    </row>
    <row r="2" spans="1:6" ht="13.5">
      <c r="A2" s="34"/>
      <c r="B2" s="37" t="s">
        <v>33</v>
      </c>
      <c r="C2" s="34" t="s">
        <v>218</v>
      </c>
      <c r="D2" s="34"/>
      <c r="E2" s="34"/>
      <c r="F2" s="45"/>
    </row>
    <row r="3" spans="1:6" ht="13.5">
      <c r="A3" s="162"/>
      <c r="B3" s="37" t="s">
        <v>34</v>
      </c>
      <c r="C3" s="34" t="s">
        <v>219</v>
      </c>
      <c r="D3" s="34"/>
      <c r="E3" s="34"/>
      <c r="F3" s="45"/>
    </row>
    <row r="4" spans="1:6" ht="18">
      <c r="A4" s="34"/>
      <c r="B4" s="38" t="s">
        <v>35</v>
      </c>
      <c r="C4" s="34" t="s">
        <v>220</v>
      </c>
      <c r="D4" s="34"/>
      <c r="E4" s="34"/>
      <c r="F4" s="51"/>
    </row>
    <row r="5" spans="1:6" ht="13.5">
      <c r="A5" s="34"/>
      <c r="B5" s="34"/>
      <c r="C5" s="34" t="s">
        <v>378</v>
      </c>
      <c r="D5" s="34"/>
      <c r="E5" s="34"/>
      <c r="F5" s="48"/>
    </row>
    <row r="6" spans="1:7" ht="12.75">
      <c r="A6" s="149"/>
      <c r="B6" s="124" t="s">
        <v>79</v>
      </c>
      <c r="C6" s="45"/>
      <c r="D6" s="45"/>
      <c r="E6" s="45"/>
      <c r="F6" s="48"/>
      <c r="G6" s="306"/>
    </row>
    <row r="7" spans="1:7" ht="16.5">
      <c r="A7" s="303"/>
      <c r="B7" s="39" t="s">
        <v>374</v>
      </c>
      <c r="C7" s="79"/>
      <c r="D7" s="79"/>
      <c r="E7" s="79"/>
      <c r="F7" s="306"/>
      <c r="G7" s="306"/>
    </row>
    <row r="8" spans="2:6" ht="12.75">
      <c r="B8" s="79"/>
      <c r="C8" s="79"/>
      <c r="D8" s="79"/>
      <c r="E8" s="79"/>
      <c r="F8" s="303"/>
    </row>
    <row r="9" spans="1:6" ht="12.75">
      <c r="A9" s="303"/>
      <c r="B9" s="302" t="s">
        <v>151</v>
      </c>
      <c r="C9" s="79"/>
      <c r="D9" s="79"/>
      <c r="E9" s="79"/>
      <c r="F9" s="303"/>
    </row>
    <row r="10" spans="2:5" ht="13.5">
      <c r="B10" s="85" t="s">
        <v>84</v>
      </c>
      <c r="C10" s="79"/>
      <c r="D10" s="79"/>
      <c r="E10" s="79"/>
    </row>
    <row r="12" spans="1:7" ht="12" thickBot="1">
      <c r="A12" s="122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</row>
    <row r="13" spans="1:7" ht="13.5">
      <c r="A13" s="302"/>
      <c r="B13" s="309" t="s">
        <v>7</v>
      </c>
      <c r="C13" s="310" t="s">
        <v>365</v>
      </c>
      <c r="D13" s="424" t="s">
        <v>28</v>
      </c>
      <c r="E13" s="310" t="s">
        <v>380</v>
      </c>
      <c r="F13" s="424" t="s">
        <v>28</v>
      </c>
      <c r="G13" s="393" t="s">
        <v>13</v>
      </c>
    </row>
    <row r="14" spans="3:7" ht="12" thickBot="1">
      <c r="C14" s="204" t="s">
        <v>16</v>
      </c>
      <c r="D14" s="425" t="s">
        <v>15</v>
      </c>
      <c r="E14" s="204" t="s">
        <v>16</v>
      </c>
      <c r="F14" s="425" t="s">
        <v>15</v>
      </c>
      <c r="G14" s="426" t="s">
        <v>40</v>
      </c>
    </row>
    <row r="15" spans="1:7" ht="12" thickBot="1">
      <c r="A15" s="79"/>
      <c r="B15" s="79"/>
      <c r="C15" s="175"/>
      <c r="D15" s="79"/>
      <c r="E15" s="175"/>
      <c r="F15" s="79"/>
      <c r="G15" s="148"/>
    </row>
    <row r="16" spans="1:7" ht="11.25">
      <c r="A16" s="79" t="s">
        <v>222</v>
      </c>
      <c r="B16" s="79"/>
      <c r="C16" s="413"/>
      <c r="D16" s="360">
        <f aca="true" t="shared" si="0" ref="D16:D37">$C16/$C$178*100</f>
        <v>0</v>
      </c>
      <c r="E16" s="413"/>
      <c r="F16" s="360">
        <f aca="true" t="shared" si="1" ref="F16:F37">$E16/$E$178*100</f>
        <v>0</v>
      </c>
      <c r="G16" s="386" t="e">
        <f>E16/C16*100</f>
        <v>#DIV/0!</v>
      </c>
    </row>
    <row r="17" spans="1:7" ht="11.25">
      <c r="A17" s="79" t="s">
        <v>388</v>
      </c>
      <c r="B17" s="79"/>
      <c r="C17" s="582"/>
      <c r="D17" s="361"/>
      <c r="E17" s="582"/>
      <c r="F17" s="361"/>
      <c r="G17" s="387"/>
    </row>
    <row r="18" spans="1:8" ht="13.5">
      <c r="A18" s="79" t="s">
        <v>223</v>
      </c>
      <c r="B18" s="79"/>
      <c r="C18" s="319">
        <v>25000</v>
      </c>
      <c r="D18" s="361">
        <f t="shared" si="0"/>
        <v>2.0597002638492516</v>
      </c>
      <c r="E18" s="319">
        <v>25000</v>
      </c>
      <c r="F18" s="361">
        <f t="shared" si="1"/>
        <v>2.037973134406113</v>
      </c>
      <c r="G18" s="387">
        <f>E18/C18*100</f>
        <v>100</v>
      </c>
      <c r="H18" s="60"/>
    </row>
    <row r="19" spans="1:8" ht="13.5">
      <c r="A19" s="79" t="s">
        <v>224</v>
      </c>
      <c r="B19" s="79"/>
      <c r="C19" s="319">
        <v>1500</v>
      </c>
      <c r="D19" s="361">
        <f t="shared" si="0"/>
        <v>0.12358201583095509</v>
      </c>
      <c r="E19" s="319">
        <v>1500</v>
      </c>
      <c r="F19" s="361">
        <f t="shared" si="1"/>
        <v>0.12227838806436676</v>
      </c>
      <c r="G19" s="387">
        <f aca="true" t="shared" si="2" ref="G19:G37">E19/C19*100</f>
        <v>100</v>
      </c>
      <c r="H19" s="60"/>
    </row>
    <row r="20" spans="1:8" ht="13.5">
      <c r="A20" s="79" t="s">
        <v>240</v>
      </c>
      <c r="B20" s="79"/>
      <c r="C20" s="319"/>
      <c r="D20" s="361">
        <f t="shared" si="0"/>
        <v>0</v>
      </c>
      <c r="E20" s="319"/>
      <c r="F20" s="361">
        <f t="shared" si="1"/>
        <v>0</v>
      </c>
      <c r="G20" s="387" t="e">
        <f t="shared" si="2"/>
        <v>#DIV/0!</v>
      </c>
      <c r="H20" s="60"/>
    </row>
    <row r="21" spans="1:8" ht="13.5">
      <c r="A21" s="79" t="s">
        <v>225</v>
      </c>
      <c r="B21" s="79"/>
      <c r="C21" s="319">
        <v>10000</v>
      </c>
      <c r="D21" s="361">
        <f t="shared" si="0"/>
        <v>0.8238801055397005</v>
      </c>
      <c r="E21" s="319">
        <v>10000</v>
      </c>
      <c r="F21" s="361">
        <f t="shared" si="1"/>
        <v>0.8151892537624451</v>
      </c>
      <c r="G21" s="387">
        <f t="shared" si="2"/>
        <v>100</v>
      </c>
      <c r="H21" s="60"/>
    </row>
    <row r="22" spans="1:8" ht="13.5">
      <c r="A22" s="79" t="s">
        <v>226</v>
      </c>
      <c r="B22" s="79"/>
      <c r="C22" s="319">
        <v>1000</v>
      </c>
      <c r="D22" s="361">
        <f t="shared" si="0"/>
        <v>0.08238801055397006</v>
      </c>
      <c r="E22" s="319">
        <v>1000</v>
      </c>
      <c r="F22" s="361">
        <f t="shared" si="1"/>
        <v>0.08151892537624451</v>
      </c>
      <c r="G22" s="387">
        <f t="shared" si="2"/>
        <v>100</v>
      </c>
      <c r="H22" s="60"/>
    </row>
    <row r="23" spans="1:8" ht="13.5">
      <c r="A23" s="79" t="s">
        <v>227</v>
      </c>
      <c r="B23" s="79"/>
      <c r="C23" s="319"/>
      <c r="D23" s="361">
        <f t="shared" si="0"/>
        <v>0</v>
      </c>
      <c r="E23" s="319"/>
      <c r="F23" s="361">
        <f t="shared" si="1"/>
        <v>0</v>
      </c>
      <c r="G23" s="387" t="e">
        <f t="shared" si="2"/>
        <v>#DIV/0!</v>
      </c>
      <c r="H23" s="60"/>
    </row>
    <row r="24" spans="1:8" ht="13.5">
      <c r="A24" s="79" t="s">
        <v>228</v>
      </c>
      <c r="B24" s="79"/>
      <c r="C24" s="319"/>
      <c r="D24" s="361">
        <f t="shared" si="0"/>
        <v>0</v>
      </c>
      <c r="E24" s="319"/>
      <c r="F24" s="361">
        <f t="shared" si="1"/>
        <v>0</v>
      </c>
      <c r="G24" s="387" t="e">
        <f t="shared" si="2"/>
        <v>#DIV/0!</v>
      </c>
      <c r="H24" s="60"/>
    </row>
    <row r="25" spans="1:8" ht="13.5">
      <c r="A25" s="79" t="s">
        <v>229</v>
      </c>
      <c r="B25" s="79"/>
      <c r="C25" s="319"/>
      <c r="D25" s="361">
        <f t="shared" si="0"/>
        <v>0</v>
      </c>
      <c r="E25" s="319"/>
      <c r="F25" s="361">
        <f t="shared" si="1"/>
        <v>0</v>
      </c>
      <c r="G25" s="387" t="e">
        <f t="shared" si="2"/>
        <v>#DIV/0!</v>
      </c>
      <c r="H25" s="60"/>
    </row>
    <row r="26" spans="1:8" ht="13.5">
      <c r="A26" s="79" t="s">
        <v>230</v>
      </c>
      <c r="B26" s="79"/>
      <c r="C26" s="319"/>
      <c r="D26" s="361">
        <f t="shared" si="0"/>
        <v>0</v>
      </c>
      <c r="E26" s="319"/>
      <c r="F26" s="361">
        <f t="shared" si="1"/>
        <v>0</v>
      </c>
      <c r="G26" s="387" t="e">
        <f t="shared" si="2"/>
        <v>#DIV/0!</v>
      </c>
      <c r="H26" s="60"/>
    </row>
    <row r="27" spans="1:8" ht="13.5">
      <c r="A27" s="79" t="s">
        <v>231</v>
      </c>
      <c r="B27" s="79"/>
      <c r="C27" s="319">
        <v>5000</v>
      </c>
      <c r="D27" s="361">
        <f t="shared" si="0"/>
        <v>0.41194005276985024</v>
      </c>
      <c r="E27" s="319">
        <v>5000</v>
      </c>
      <c r="F27" s="361">
        <f t="shared" si="1"/>
        <v>0.40759462688122255</v>
      </c>
      <c r="G27" s="387">
        <f t="shared" si="2"/>
        <v>100</v>
      </c>
      <c r="H27" s="60"/>
    </row>
    <row r="28" spans="1:8" ht="13.5">
      <c r="A28" s="79" t="s">
        <v>372</v>
      </c>
      <c r="B28" s="79"/>
      <c r="C28" s="319">
        <v>10000</v>
      </c>
      <c r="D28" s="361">
        <f t="shared" si="0"/>
        <v>0.8238801055397005</v>
      </c>
      <c r="E28" s="319">
        <v>10000</v>
      </c>
      <c r="F28" s="361">
        <f t="shared" si="1"/>
        <v>0.8151892537624451</v>
      </c>
      <c r="G28" s="387">
        <f t="shared" si="2"/>
        <v>100</v>
      </c>
      <c r="H28" s="60"/>
    </row>
    <row r="29" spans="1:8" ht="13.5">
      <c r="A29" s="79" t="s">
        <v>232</v>
      </c>
      <c r="B29" s="79"/>
      <c r="C29" s="319">
        <v>30000</v>
      </c>
      <c r="D29" s="361">
        <f t="shared" si="0"/>
        <v>2.471640316619102</v>
      </c>
      <c r="E29" s="319">
        <v>30000</v>
      </c>
      <c r="F29" s="361">
        <f t="shared" si="1"/>
        <v>2.445567761287335</v>
      </c>
      <c r="G29" s="387">
        <f t="shared" si="2"/>
        <v>100</v>
      </c>
      <c r="H29" s="60"/>
    </row>
    <row r="30" spans="1:8" ht="13.5">
      <c r="A30" s="79" t="s">
        <v>233</v>
      </c>
      <c r="B30" s="79"/>
      <c r="C30" s="314"/>
      <c r="D30" s="361">
        <f t="shared" si="0"/>
        <v>0</v>
      </c>
      <c r="E30" s="314"/>
      <c r="F30" s="361">
        <f t="shared" si="1"/>
        <v>0</v>
      </c>
      <c r="G30" s="387" t="e">
        <f t="shared" si="2"/>
        <v>#DIV/0!</v>
      </c>
      <c r="H30" s="60"/>
    </row>
    <row r="31" spans="1:8" ht="14.25" thickBot="1">
      <c r="A31" s="79" t="s">
        <v>234</v>
      </c>
      <c r="B31" s="79"/>
      <c r="C31" s="314"/>
      <c r="D31" s="361">
        <f t="shared" si="0"/>
        <v>0</v>
      </c>
      <c r="E31" s="314"/>
      <c r="F31" s="361">
        <f t="shared" si="1"/>
        <v>0</v>
      </c>
      <c r="G31" s="387" t="e">
        <f t="shared" si="2"/>
        <v>#DIV/0!</v>
      </c>
      <c r="H31" s="60"/>
    </row>
    <row r="32" spans="1:9" ht="14.25" thickBot="1">
      <c r="A32" s="79" t="s">
        <v>235</v>
      </c>
      <c r="B32" s="79"/>
      <c r="C32" s="314">
        <v>5000</v>
      </c>
      <c r="D32" s="361">
        <f t="shared" si="0"/>
        <v>0.41194005276985024</v>
      </c>
      <c r="E32" s="314">
        <v>5000</v>
      </c>
      <c r="F32" s="361">
        <f t="shared" si="1"/>
        <v>0.40759462688122255</v>
      </c>
      <c r="G32" s="387">
        <f t="shared" si="2"/>
        <v>100</v>
      </c>
      <c r="H32" s="60"/>
      <c r="I32" s="317"/>
    </row>
    <row r="33" spans="1:8" ht="13.5">
      <c r="A33" s="79" t="s">
        <v>236</v>
      </c>
      <c r="B33" s="79"/>
      <c r="C33" s="314">
        <v>10000</v>
      </c>
      <c r="D33" s="361">
        <f t="shared" si="0"/>
        <v>0.8238801055397005</v>
      </c>
      <c r="E33" s="314">
        <v>10000</v>
      </c>
      <c r="F33" s="361">
        <f t="shared" si="1"/>
        <v>0.8151892537624451</v>
      </c>
      <c r="G33" s="387">
        <f t="shared" si="2"/>
        <v>100</v>
      </c>
      <c r="H33" s="60"/>
    </row>
    <row r="34" spans="1:8" ht="13.5">
      <c r="A34" s="79" t="s">
        <v>237</v>
      </c>
      <c r="B34" s="79"/>
      <c r="C34" s="314">
        <v>25000</v>
      </c>
      <c r="D34" s="361">
        <f t="shared" si="0"/>
        <v>2.0597002638492516</v>
      </c>
      <c r="E34" s="314">
        <v>25000</v>
      </c>
      <c r="F34" s="361">
        <f t="shared" si="1"/>
        <v>2.037973134406113</v>
      </c>
      <c r="G34" s="387">
        <f t="shared" si="2"/>
        <v>100</v>
      </c>
      <c r="H34" s="60"/>
    </row>
    <row r="35" spans="1:8" ht="13.5">
      <c r="A35" s="79" t="s">
        <v>238</v>
      </c>
      <c r="B35" s="79"/>
      <c r="C35" s="314"/>
      <c r="D35" s="361">
        <f t="shared" si="0"/>
        <v>0</v>
      </c>
      <c r="E35" s="314"/>
      <c r="F35" s="361">
        <f t="shared" si="1"/>
        <v>0</v>
      </c>
      <c r="G35" s="387" t="e">
        <f t="shared" si="2"/>
        <v>#DIV/0!</v>
      </c>
      <c r="H35" s="60"/>
    </row>
    <row r="36" spans="1:7" ht="12" thickBot="1">
      <c r="A36" s="79" t="s">
        <v>239</v>
      </c>
      <c r="B36" s="79"/>
      <c r="C36" s="314"/>
      <c r="D36" s="361">
        <f t="shared" si="0"/>
        <v>0</v>
      </c>
      <c r="E36" s="314"/>
      <c r="F36" s="361">
        <f t="shared" si="1"/>
        <v>0</v>
      </c>
      <c r="G36" s="387" t="e">
        <f t="shared" si="2"/>
        <v>#DIV/0!</v>
      </c>
    </row>
    <row r="37" spans="1:7" ht="12" thickBot="1">
      <c r="A37" s="302">
        <v>40</v>
      </c>
      <c r="B37" s="316" t="s">
        <v>12</v>
      </c>
      <c r="C37" s="500">
        <f>+SUM(C16:C36)</f>
        <v>122500</v>
      </c>
      <c r="D37" s="363">
        <f t="shared" si="0"/>
        <v>10.09253129286133</v>
      </c>
      <c r="E37" s="317">
        <f>+SUM(E16:E36)</f>
        <v>122500</v>
      </c>
      <c r="F37" s="363">
        <f t="shared" si="1"/>
        <v>9.986068358589952</v>
      </c>
      <c r="G37" s="389">
        <f t="shared" si="2"/>
        <v>100</v>
      </c>
    </row>
    <row r="38" spans="1:7" ht="12" thickBot="1">
      <c r="A38" s="302"/>
      <c r="B38" s="302"/>
      <c r="C38" s="318"/>
      <c r="D38" s="187"/>
      <c r="E38" s="318"/>
      <c r="F38" s="187"/>
      <c r="G38" s="313"/>
    </row>
    <row r="39" spans="1:8" ht="13.5">
      <c r="A39" s="79" t="s">
        <v>241</v>
      </c>
      <c r="B39" s="312"/>
      <c r="C39" s="566">
        <v>10000</v>
      </c>
      <c r="D39" s="360">
        <f aca="true" t="shared" si="3" ref="D39:D57">$C39/$C$178*100</f>
        <v>0.8238801055397005</v>
      </c>
      <c r="E39" s="536">
        <v>10000</v>
      </c>
      <c r="F39" s="360">
        <f aca="true" t="shared" si="4" ref="F39:F57">$E39/$E$178*100</f>
        <v>0.8151892537624451</v>
      </c>
      <c r="G39" s="383">
        <f aca="true" t="shared" si="5" ref="G39:G57">E39/C39*100</f>
        <v>100</v>
      </c>
      <c r="H39" s="60">
        <v>4101</v>
      </c>
    </row>
    <row r="40" spans="1:8" ht="13.5">
      <c r="A40" s="79" t="s">
        <v>242</v>
      </c>
      <c r="B40" s="312"/>
      <c r="C40" s="314">
        <v>6000</v>
      </c>
      <c r="D40" s="361">
        <f t="shared" si="3"/>
        <v>0.49432806332382034</v>
      </c>
      <c r="E40" s="333">
        <v>6000</v>
      </c>
      <c r="F40" s="361">
        <f t="shared" si="4"/>
        <v>0.48911355225746705</v>
      </c>
      <c r="G40" s="384">
        <f t="shared" si="5"/>
        <v>100</v>
      </c>
      <c r="H40" s="60">
        <v>4105</v>
      </c>
    </row>
    <row r="41" spans="1:8" ht="13.5">
      <c r="A41" s="79" t="s">
        <v>243</v>
      </c>
      <c r="B41" s="312"/>
      <c r="C41" s="314"/>
      <c r="D41" s="361">
        <f t="shared" si="3"/>
        <v>0</v>
      </c>
      <c r="E41" s="333"/>
      <c r="F41" s="361">
        <f t="shared" si="4"/>
        <v>0</v>
      </c>
      <c r="G41" s="384" t="e">
        <f t="shared" si="5"/>
        <v>#DIV/0!</v>
      </c>
      <c r="H41" s="60">
        <v>41051</v>
      </c>
    </row>
    <row r="42" spans="1:8" ht="13.5">
      <c r="A42" s="79" t="s">
        <v>244</v>
      </c>
      <c r="B42" s="312"/>
      <c r="C42" s="314">
        <v>40000</v>
      </c>
      <c r="D42" s="361">
        <f t="shared" si="3"/>
        <v>3.295520422158802</v>
      </c>
      <c r="E42" s="333">
        <v>40000</v>
      </c>
      <c r="F42" s="361">
        <f t="shared" si="4"/>
        <v>3.2607570150497804</v>
      </c>
      <c r="G42" s="384">
        <f t="shared" si="5"/>
        <v>100</v>
      </c>
      <c r="H42" s="60">
        <v>4120</v>
      </c>
    </row>
    <row r="43" spans="1:8" ht="13.5">
      <c r="A43" s="79" t="s">
        <v>245</v>
      </c>
      <c r="B43" s="312"/>
      <c r="C43" s="314"/>
      <c r="D43" s="361">
        <f t="shared" si="3"/>
        <v>0</v>
      </c>
      <c r="E43" s="333"/>
      <c r="F43" s="361">
        <f t="shared" si="4"/>
        <v>0</v>
      </c>
      <c r="G43" s="384" t="e">
        <f t="shared" si="5"/>
        <v>#DIV/0!</v>
      </c>
      <c r="H43" s="60">
        <v>4121</v>
      </c>
    </row>
    <row r="44" spans="1:8" ht="13.5">
      <c r="A44" s="79" t="s">
        <v>246</v>
      </c>
      <c r="B44" s="312"/>
      <c r="C44" s="314"/>
      <c r="D44" s="361">
        <f t="shared" si="3"/>
        <v>0</v>
      </c>
      <c r="E44" s="333"/>
      <c r="F44" s="361">
        <f t="shared" si="4"/>
        <v>0</v>
      </c>
      <c r="G44" s="384" t="e">
        <f t="shared" si="5"/>
        <v>#DIV/0!</v>
      </c>
      <c r="H44" s="60">
        <v>4128</v>
      </c>
    </row>
    <row r="45" spans="1:8" ht="13.5">
      <c r="A45" s="79" t="s">
        <v>247</v>
      </c>
      <c r="B45" s="312"/>
      <c r="C45" s="314">
        <v>80000</v>
      </c>
      <c r="D45" s="361">
        <f t="shared" si="3"/>
        <v>6.591040844317604</v>
      </c>
      <c r="E45" s="333">
        <v>80000</v>
      </c>
      <c r="F45" s="361">
        <f t="shared" si="4"/>
        <v>6.521514030099561</v>
      </c>
      <c r="G45" s="384">
        <f t="shared" si="5"/>
        <v>100</v>
      </c>
      <c r="H45" s="60">
        <v>4137</v>
      </c>
    </row>
    <row r="46" spans="1:8" ht="13.5">
      <c r="A46" s="79" t="s">
        <v>248</v>
      </c>
      <c r="B46" s="312"/>
      <c r="C46" s="314"/>
      <c r="D46" s="361">
        <f t="shared" si="3"/>
        <v>0</v>
      </c>
      <c r="E46" s="333"/>
      <c r="F46" s="361">
        <f t="shared" si="4"/>
        <v>0</v>
      </c>
      <c r="G46" s="384" t="e">
        <f t="shared" si="5"/>
        <v>#DIV/0!</v>
      </c>
      <c r="H46" s="60">
        <v>4140</v>
      </c>
    </row>
    <row r="47" spans="1:8" ht="13.5">
      <c r="A47" s="79" t="s">
        <v>249</v>
      </c>
      <c r="B47" s="312"/>
      <c r="C47" s="314"/>
      <c r="D47" s="361">
        <f t="shared" si="3"/>
        <v>0</v>
      </c>
      <c r="E47" s="333"/>
      <c r="F47" s="361">
        <f t="shared" si="4"/>
        <v>0</v>
      </c>
      <c r="G47" s="384" t="e">
        <f t="shared" si="5"/>
        <v>#DIV/0!</v>
      </c>
      <c r="H47" s="60">
        <v>4150</v>
      </c>
    </row>
    <row r="48" spans="1:8" ht="13.5">
      <c r="A48" s="79" t="s">
        <v>250</v>
      </c>
      <c r="B48" s="312"/>
      <c r="C48" s="314"/>
      <c r="D48" s="361">
        <f t="shared" si="3"/>
        <v>0</v>
      </c>
      <c r="E48" s="333"/>
      <c r="F48" s="361">
        <f t="shared" si="4"/>
        <v>0</v>
      </c>
      <c r="G48" s="384" t="e">
        <f t="shared" si="5"/>
        <v>#DIV/0!</v>
      </c>
      <c r="H48" s="60"/>
    </row>
    <row r="49" spans="1:8" ht="13.5">
      <c r="A49" s="79" t="s">
        <v>251</v>
      </c>
      <c r="B49" s="312"/>
      <c r="C49" s="319">
        <v>500</v>
      </c>
      <c r="D49" s="361">
        <f t="shared" si="3"/>
        <v>0.04119400527698503</v>
      </c>
      <c r="E49" s="329">
        <v>500</v>
      </c>
      <c r="F49" s="361">
        <f t="shared" si="4"/>
        <v>0.04075946268812226</v>
      </c>
      <c r="G49" s="384">
        <f t="shared" si="5"/>
        <v>100</v>
      </c>
      <c r="H49" s="412">
        <v>4161</v>
      </c>
    </row>
    <row r="50" spans="1:8" ht="13.5">
      <c r="A50" s="79" t="s">
        <v>252</v>
      </c>
      <c r="B50" s="312"/>
      <c r="C50" s="319"/>
      <c r="D50" s="361">
        <f t="shared" si="3"/>
        <v>0</v>
      </c>
      <c r="E50" s="329"/>
      <c r="F50" s="361">
        <f t="shared" si="4"/>
        <v>0</v>
      </c>
      <c r="G50" s="384" t="e">
        <f t="shared" si="5"/>
        <v>#DIV/0!</v>
      </c>
      <c r="H50" s="60">
        <v>4166</v>
      </c>
    </row>
    <row r="51" spans="1:8" ht="13.5">
      <c r="A51" s="79" t="s">
        <v>253</v>
      </c>
      <c r="B51" s="312"/>
      <c r="C51" s="314">
        <v>48000</v>
      </c>
      <c r="D51" s="361">
        <f t="shared" si="3"/>
        <v>3.9546245065905627</v>
      </c>
      <c r="E51" s="333">
        <v>48000</v>
      </c>
      <c r="F51" s="361">
        <f t="shared" si="4"/>
        <v>3.9129084180597364</v>
      </c>
      <c r="G51" s="384">
        <f t="shared" si="5"/>
        <v>100</v>
      </c>
      <c r="H51" s="60">
        <v>4167</v>
      </c>
    </row>
    <row r="52" spans="1:8" ht="13.5">
      <c r="A52" s="79" t="s">
        <v>254</v>
      </c>
      <c r="B52" s="312"/>
      <c r="C52" s="314"/>
      <c r="D52" s="361">
        <f t="shared" si="3"/>
        <v>0</v>
      </c>
      <c r="E52" s="333"/>
      <c r="F52" s="361">
        <f t="shared" si="4"/>
        <v>0</v>
      </c>
      <c r="G52" s="384" t="e">
        <f t="shared" si="5"/>
        <v>#DIV/0!</v>
      </c>
      <c r="H52" s="60">
        <v>4176</v>
      </c>
    </row>
    <row r="53" spans="1:8" ht="13.5">
      <c r="A53" s="79" t="s">
        <v>255</v>
      </c>
      <c r="B53" s="312"/>
      <c r="C53" s="319"/>
      <c r="D53" s="361">
        <f t="shared" si="3"/>
        <v>0</v>
      </c>
      <c r="E53" s="329"/>
      <c r="F53" s="361">
        <f t="shared" si="4"/>
        <v>0</v>
      </c>
      <c r="G53" s="384" t="e">
        <f t="shared" si="5"/>
        <v>#DIV/0!</v>
      </c>
      <c r="H53" s="60">
        <v>4179</v>
      </c>
    </row>
    <row r="54" spans="1:8" ht="13.5">
      <c r="A54" s="79" t="s">
        <v>256</v>
      </c>
      <c r="B54" s="312"/>
      <c r="C54" s="314"/>
      <c r="D54" s="361">
        <f t="shared" si="3"/>
        <v>0</v>
      </c>
      <c r="E54" s="333"/>
      <c r="F54" s="361">
        <f t="shared" si="4"/>
        <v>0</v>
      </c>
      <c r="G54" s="384" t="e">
        <f t="shared" si="5"/>
        <v>#DIV/0!</v>
      </c>
      <c r="H54" s="60">
        <v>4180</v>
      </c>
    </row>
    <row r="55" spans="1:8" ht="13.5">
      <c r="A55" s="79" t="s">
        <v>257</v>
      </c>
      <c r="B55" s="312"/>
      <c r="C55" s="319"/>
      <c r="D55" s="361">
        <f t="shared" si="3"/>
        <v>0</v>
      </c>
      <c r="E55" s="329"/>
      <c r="F55" s="361">
        <f t="shared" si="4"/>
        <v>0</v>
      </c>
      <c r="G55" s="384" t="e">
        <f t="shared" si="5"/>
        <v>#DIV/0!</v>
      </c>
      <c r="H55" s="60">
        <v>4190</v>
      </c>
    </row>
    <row r="56" spans="1:8" ht="13.5">
      <c r="A56" s="79" t="s">
        <v>258</v>
      </c>
      <c r="B56" s="312"/>
      <c r="C56" s="319"/>
      <c r="D56" s="361">
        <f t="shared" si="3"/>
        <v>0</v>
      </c>
      <c r="E56" s="329"/>
      <c r="F56" s="361">
        <f t="shared" si="4"/>
        <v>0</v>
      </c>
      <c r="G56" s="384" t="e">
        <f t="shared" si="5"/>
        <v>#DIV/0!</v>
      </c>
      <c r="H56" s="60">
        <v>41901</v>
      </c>
    </row>
    <row r="57" spans="1:8" ht="14.25" thickBot="1">
      <c r="A57" s="79" t="s">
        <v>259</v>
      </c>
      <c r="B57" s="312"/>
      <c r="C57" s="315"/>
      <c r="D57" s="362">
        <f t="shared" si="3"/>
        <v>0</v>
      </c>
      <c r="E57" s="522"/>
      <c r="F57" s="362">
        <f t="shared" si="4"/>
        <v>0</v>
      </c>
      <c r="G57" s="421" t="e">
        <f t="shared" si="5"/>
        <v>#DIV/0!</v>
      </c>
      <c r="H57" s="60">
        <v>4191</v>
      </c>
    </row>
    <row r="58" spans="1:7" ht="13.5">
      <c r="A58" s="34"/>
      <c r="B58" s="35" t="s">
        <v>166</v>
      </c>
      <c r="C58" s="34"/>
      <c r="D58" s="34"/>
      <c r="E58" s="34"/>
      <c r="F58"/>
      <c r="G58" s="304" t="s">
        <v>349</v>
      </c>
    </row>
    <row r="59" spans="1:7" ht="13.5">
      <c r="A59" s="34"/>
      <c r="B59" s="37" t="s">
        <v>33</v>
      </c>
      <c r="C59" s="34" t="s">
        <v>218</v>
      </c>
      <c r="D59" s="34"/>
      <c r="E59" s="34"/>
      <c r="F59" s="45"/>
      <c r="G59" s="208"/>
    </row>
    <row r="60" spans="1:7" ht="13.5">
      <c r="A60" s="162"/>
      <c r="B60" s="37" t="s">
        <v>34</v>
      </c>
      <c r="C60" s="34" t="s">
        <v>219</v>
      </c>
      <c r="D60" s="34"/>
      <c r="E60" s="34"/>
      <c r="F60" s="45"/>
      <c r="G60" s="208"/>
    </row>
    <row r="61" spans="1:7" ht="18">
      <c r="A61" s="34"/>
      <c r="B61" s="38" t="s">
        <v>35</v>
      </c>
      <c r="C61" s="34" t="s">
        <v>220</v>
      </c>
      <c r="D61" s="34"/>
      <c r="E61" s="34"/>
      <c r="F61" s="51"/>
      <c r="G61" s="305"/>
    </row>
    <row r="62" spans="1:7" ht="13.5">
      <c r="A62" s="34"/>
      <c r="B62" s="34"/>
      <c r="C62" s="34" t="s">
        <v>378</v>
      </c>
      <c r="D62" s="34"/>
      <c r="E62" s="34"/>
      <c r="F62" s="48"/>
      <c r="G62" s="305"/>
    </row>
    <row r="63" spans="1:7" ht="12.75">
      <c r="A63" s="149"/>
      <c r="B63" s="124" t="s">
        <v>79</v>
      </c>
      <c r="C63" s="45"/>
      <c r="D63" s="45"/>
      <c r="E63" s="45"/>
      <c r="F63" s="48"/>
      <c r="G63" s="306"/>
    </row>
    <row r="64" spans="1:7" ht="12.75">
      <c r="A64" s="303"/>
      <c r="B64" s="307" t="s">
        <v>374</v>
      </c>
      <c r="C64" s="79"/>
      <c r="D64" s="79"/>
      <c r="E64" s="79"/>
      <c r="F64" s="306"/>
      <c r="G64" s="306"/>
    </row>
    <row r="65" spans="2:6" ht="12.75">
      <c r="B65" s="79"/>
      <c r="C65" s="79"/>
      <c r="D65" s="79"/>
      <c r="E65" s="79"/>
      <c r="F65" s="303"/>
    </row>
    <row r="66" spans="1:6" ht="12.75">
      <c r="A66" s="303"/>
      <c r="B66" s="302" t="s">
        <v>152</v>
      </c>
      <c r="C66" s="79"/>
      <c r="D66" s="79"/>
      <c r="E66" s="79"/>
      <c r="F66" s="303"/>
    </row>
    <row r="67" spans="1:6" ht="12.75">
      <c r="A67" s="303"/>
      <c r="B67" s="79"/>
      <c r="C67" s="79"/>
      <c r="D67" s="79"/>
      <c r="E67" s="79"/>
      <c r="F67" s="303"/>
    </row>
    <row r="68" spans="2:5" ht="13.5">
      <c r="B68" s="85" t="s">
        <v>84</v>
      </c>
      <c r="C68" s="79"/>
      <c r="D68" s="79"/>
      <c r="E68" s="79"/>
    </row>
    <row r="70" spans="1:7" ht="11.25">
      <c r="A70" s="122">
        <v>1</v>
      </c>
      <c r="B70" s="122">
        <v>2</v>
      </c>
      <c r="C70" s="122">
        <v>3</v>
      </c>
      <c r="D70" s="122">
        <v>4</v>
      </c>
      <c r="E70" s="122">
        <v>5</v>
      </c>
      <c r="F70" s="122">
        <v>6</v>
      </c>
      <c r="G70" s="122">
        <v>7</v>
      </c>
    </row>
    <row r="71" ht="12" thickBot="1">
      <c r="D71" s="122"/>
    </row>
    <row r="72" spans="1:7" ht="13.5">
      <c r="A72" s="302"/>
      <c r="B72" s="309" t="s">
        <v>7</v>
      </c>
      <c r="C72" s="310" t="s">
        <v>365</v>
      </c>
      <c r="D72" s="424" t="s">
        <v>28</v>
      </c>
      <c r="E72" s="544" t="s">
        <v>380</v>
      </c>
      <c r="F72" s="424" t="s">
        <v>28</v>
      </c>
      <c r="G72" s="394" t="s">
        <v>13</v>
      </c>
    </row>
    <row r="73" spans="3:7" ht="12" thickBot="1">
      <c r="C73" s="524" t="s">
        <v>16</v>
      </c>
      <c r="D73" s="446" t="s">
        <v>15</v>
      </c>
      <c r="E73" s="325" t="s">
        <v>16</v>
      </c>
      <c r="F73" s="446" t="s">
        <v>15</v>
      </c>
      <c r="G73" s="545" t="s">
        <v>40</v>
      </c>
    </row>
    <row r="74" spans="1:7" ht="11.25">
      <c r="A74" s="414" t="s">
        <v>322</v>
      </c>
      <c r="B74" s="79"/>
      <c r="C74" s="459">
        <v>20000</v>
      </c>
      <c r="D74" s="360">
        <f aca="true" t="shared" si="6" ref="D74:D90">$C74/$C$178*100</f>
        <v>1.647760211079401</v>
      </c>
      <c r="E74" s="506">
        <v>20000</v>
      </c>
      <c r="F74" s="360">
        <f aca="true" t="shared" si="7" ref="F74:F90">$E74/$E$178*100</f>
        <v>1.6303785075248902</v>
      </c>
      <c r="G74" s="383">
        <f aca="true" t="shared" si="8" ref="G74:G90">E74/C74*100</f>
        <v>100</v>
      </c>
    </row>
    <row r="75" spans="1:7" ht="11.25">
      <c r="A75" s="414" t="s">
        <v>261</v>
      </c>
      <c r="B75" s="79"/>
      <c r="C75" s="437">
        <v>25000</v>
      </c>
      <c r="D75" s="361">
        <f t="shared" si="6"/>
        <v>2.0597002638492516</v>
      </c>
      <c r="E75" s="457">
        <v>25000</v>
      </c>
      <c r="F75" s="361">
        <f t="shared" si="7"/>
        <v>2.037973134406113</v>
      </c>
      <c r="G75" s="384">
        <f t="shared" si="8"/>
        <v>100</v>
      </c>
    </row>
    <row r="76" spans="1:7" ht="11.25">
      <c r="A76" s="414" t="s">
        <v>385</v>
      </c>
      <c r="B76" s="79"/>
      <c r="C76" s="437"/>
      <c r="D76" s="361">
        <f t="shared" si="6"/>
        <v>0</v>
      </c>
      <c r="E76" s="457"/>
      <c r="F76" s="361">
        <f t="shared" si="7"/>
        <v>0</v>
      </c>
      <c r="G76" s="384" t="e">
        <f t="shared" si="8"/>
        <v>#DIV/0!</v>
      </c>
    </row>
    <row r="77" spans="1:7" ht="11.25">
      <c r="A77" s="414" t="s">
        <v>386</v>
      </c>
      <c r="B77" s="79"/>
      <c r="C77" s="437"/>
      <c r="D77" s="361">
        <f t="shared" si="6"/>
        <v>0</v>
      </c>
      <c r="E77" s="457"/>
      <c r="F77" s="361">
        <f t="shared" si="7"/>
        <v>0</v>
      </c>
      <c r="G77" s="384" t="e">
        <f t="shared" si="8"/>
        <v>#DIV/0!</v>
      </c>
    </row>
    <row r="78" spans="1:7" ht="11.25">
      <c r="A78" s="414" t="s">
        <v>262</v>
      </c>
      <c r="B78" s="79"/>
      <c r="C78" s="437"/>
      <c r="D78" s="361">
        <f t="shared" si="6"/>
        <v>0</v>
      </c>
      <c r="E78" s="457"/>
      <c r="F78" s="361">
        <f t="shared" si="7"/>
        <v>0</v>
      </c>
      <c r="G78" s="384" t="e">
        <f t="shared" si="8"/>
        <v>#DIV/0!</v>
      </c>
    </row>
    <row r="79" spans="1:7" ht="11.25">
      <c r="A79" s="414" t="s">
        <v>263</v>
      </c>
      <c r="B79" s="79"/>
      <c r="C79" s="437">
        <v>20000</v>
      </c>
      <c r="D79" s="361">
        <f t="shared" si="6"/>
        <v>1.647760211079401</v>
      </c>
      <c r="E79" s="457">
        <v>20000</v>
      </c>
      <c r="F79" s="361">
        <f t="shared" si="7"/>
        <v>1.6303785075248902</v>
      </c>
      <c r="G79" s="384">
        <f t="shared" si="8"/>
        <v>100</v>
      </c>
    </row>
    <row r="80" spans="1:7" ht="11.25">
      <c r="A80" s="414" t="s">
        <v>264</v>
      </c>
      <c r="B80" s="79"/>
      <c r="C80" s="437"/>
      <c r="D80" s="361">
        <f t="shared" si="6"/>
        <v>0</v>
      </c>
      <c r="E80" s="457"/>
      <c r="F80" s="361">
        <f t="shared" si="7"/>
        <v>0</v>
      </c>
      <c r="G80" s="384" t="e">
        <f t="shared" si="8"/>
        <v>#DIV/0!</v>
      </c>
    </row>
    <row r="81" spans="1:7" ht="11.25">
      <c r="A81" s="414" t="s">
        <v>265</v>
      </c>
      <c r="B81" s="79"/>
      <c r="C81" s="437"/>
      <c r="D81" s="361">
        <f t="shared" si="6"/>
        <v>0</v>
      </c>
      <c r="E81" s="457"/>
      <c r="F81" s="361">
        <f t="shared" si="7"/>
        <v>0</v>
      </c>
      <c r="G81" s="384" t="e">
        <f t="shared" si="8"/>
        <v>#DIV/0!</v>
      </c>
    </row>
    <row r="82" spans="1:7" ht="11.25">
      <c r="A82" s="414" t="s">
        <v>266</v>
      </c>
      <c r="B82" s="79"/>
      <c r="C82" s="437"/>
      <c r="D82" s="361">
        <f t="shared" si="6"/>
        <v>0</v>
      </c>
      <c r="E82" s="457"/>
      <c r="F82" s="361">
        <f t="shared" si="7"/>
        <v>0</v>
      </c>
      <c r="G82" s="384" t="e">
        <f t="shared" si="8"/>
        <v>#DIV/0!</v>
      </c>
    </row>
    <row r="83" spans="1:7" ht="11.25">
      <c r="A83" s="414" t="s">
        <v>267</v>
      </c>
      <c r="B83" s="79"/>
      <c r="C83" s="437"/>
      <c r="D83" s="361">
        <f t="shared" si="6"/>
        <v>0</v>
      </c>
      <c r="E83" s="457"/>
      <c r="F83" s="361">
        <f t="shared" si="7"/>
        <v>0</v>
      </c>
      <c r="G83" s="384" t="e">
        <f t="shared" si="8"/>
        <v>#DIV/0!</v>
      </c>
    </row>
    <row r="84" spans="1:7" ht="11.25">
      <c r="A84" s="414" t="s">
        <v>268</v>
      </c>
      <c r="B84" s="79"/>
      <c r="C84" s="437"/>
      <c r="D84" s="361">
        <f t="shared" si="6"/>
        <v>0</v>
      </c>
      <c r="E84" s="457"/>
      <c r="F84" s="361">
        <f t="shared" si="7"/>
        <v>0</v>
      </c>
      <c r="G84" s="384" t="e">
        <f t="shared" si="8"/>
        <v>#DIV/0!</v>
      </c>
    </row>
    <row r="85" spans="1:7" ht="11.25">
      <c r="A85" s="414" t="s">
        <v>269</v>
      </c>
      <c r="B85" s="312"/>
      <c r="C85" s="314"/>
      <c r="D85" s="361">
        <f t="shared" si="6"/>
        <v>0</v>
      </c>
      <c r="E85" s="333"/>
      <c r="F85" s="361">
        <f t="shared" si="7"/>
        <v>0</v>
      </c>
      <c r="G85" s="384" t="e">
        <f t="shared" si="8"/>
        <v>#DIV/0!</v>
      </c>
    </row>
    <row r="86" spans="1:7" ht="11.25">
      <c r="A86" s="414" t="s">
        <v>270</v>
      </c>
      <c r="B86" s="312"/>
      <c r="C86" s="314"/>
      <c r="D86" s="361">
        <f t="shared" si="6"/>
        <v>0</v>
      </c>
      <c r="E86" s="333"/>
      <c r="F86" s="361">
        <f t="shared" si="7"/>
        <v>0</v>
      </c>
      <c r="G86" s="384" t="e">
        <f t="shared" si="8"/>
        <v>#DIV/0!</v>
      </c>
    </row>
    <row r="87" spans="1:7" ht="11.25">
      <c r="A87" s="414" t="s">
        <v>271</v>
      </c>
      <c r="B87" s="312"/>
      <c r="C87" s="319"/>
      <c r="D87" s="361">
        <f t="shared" si="6"/>
        <v>0</v>
      </c>
      <c r="E87" s="329"/>
      <c r="F87" s="361">
        <f t="shared" si="7"/>
        <v>0</v>
      </c>
      <c r="G87" s="384" t="e">
        <f t="shared" si="8"/>
        <v>#DIV/0!</v>
      </c>
    </row>
    <row r="88" spans="1:7" ht="11.25">
      <c r="A88" s="414" t="s">
        <v>272</v>
      </c>
      <c r="B88" s="312"/>
      <c r="C88" s="319"/>
      <c r="D88" s="361">
        <f t="shared" si="6"/>
        <v>0</v>
      </c>
      <c r="E88" s="329"/>
      <c r="F88" s="361">
        <f t="shared" si="7"/>
        <v>0</v>
      </c>
      <c r="G88" s="384" t="e">
        <f t="shared" si="8"/>
        <v>#DIV/0!</v>
      </c>
    </row>
    <row r="89" spans="3:7" ht="12" thickBot="1">
      <c r="C89" s="576"/>
      <c r="D89" s="361">
        <f t="shared" si="6"/>
        <v>0</v>
      </c>
      <c r="E89" s="457"/>
      <c r="F89" s="361">
        <f t="shared" si="7"/>
        <v>0</v>
      </c>
      <c r="G89" s="384" t="e">
        <f t="shared" si="8"/>
        <v>#DIV/0!</v>
      </c>
    </row>
    <row r="90" spans="1:7" ht="12" thickBot="1">
      <c r="A90" s="302">
        <v>41</v>
      </c>
      <c r="B90" s="316" t="s">
        <v>74</v>
      </c>
      <c r="C90" s="500">
        <f>+SUM(C39:C57,C74:C88)</f>
        <v>249500</v>
      </c>
      <c r="D90" s="363">
        <f t="shared" si="6"/>
        <v>20.55580863321553</v>
      </c>
      <c r="E90" s="438">
        <f>+SUM(E39:E57,E74:E88)</f>
        <v>249500</v>
      </c>
      <c r="F90" s="363">
        <f t="shared" si="7"/>
        <v>20.338971881373006</v>
      </c>
      <c r="G90" s="385">
        <f t="shared" si="8"/>
        <v>100</v>
      </c>
    </row>
    <row r="91" spans="3:7" ht="12" thickBot="1">
      <c r="C91" s="182"/>
      <c r="D91" s="187"/>
      <c r="E91" s="182"/>
      <c r="F91" s="187"/>
      <c r="G91" s="313"/>
    </row>
    <row r="92" spans="1:10" ht="12" thickBot="1">
      <c r="A92" s="302">
        <v>42</v>
      </c>
      <c r="B92" s="316" t="s">
        <v>19</v>
      </c>
      <c r="C92" s="498">
        <f>SUM(C93:C103)</f>
        <v>385848.84</v>
      </c>
      <c r="D92" s="360">
        <f aca="true" t="shared" si="9" ref="D92:D103">$C92/$C$178*100</f>
        <v>31.789318302157106</v>
      </c>
      <c r="E92" s="501">
        <f>SUM(E93:E103)</f>
        <v>398789.007</v>
      </c>
      <c r="F92" s="360">
        <f aca="true" t="shared" si="10" ref="F92:F103">$E92/$E$178*100</f>
        <v>32.50885130249965</v>
      </c>
      <c r="G92" s="386">
        <f aca="true" t="shared" si="11" ref="G92:G103">E92/C92*100</f>
        <v>103.35368819561566</v>
      </c>
      <c r="J92" s="169">
        <f>C92-E92</f>
        <v>-12940.166999999958</v>
      </c>
    </row>
    <row r="93" spans="1:7" ht="11.25">
      <c r="A93" s="414" t="s">
        <v>273</v>
      </c>
      <c r="B93" s="316"/>
      <c r="C93" s="326">
        <v>258803.34</v>
      </c>
      <c r="D93" s="360">
        <f t="shared" si="9"/>
        <v>21.3222923073227</v>
      </c>
      <c r="E93" s="447">
        <f>C93*1.05</f>
        <v>271743.507</v>
      </c>
      <c r="F93" s="360">
        <f t="shared" si="10"/>
        <v>22.152238668611975</v>
      </c>
      <c r="G93" s="386">
        <f t="shared" si="11"/>
        <v>105</v>
      </c>
    </row>
    <row r="94" spans="1:7" ht="11.25">
      <c r="A94" s="414" t="s">
        <v>274</v>
      </c>
      <c r="B94" s="316"/>
      <c r="C94" s="327">
        <v>19498.23</v>
      </c>
      <c r="D94" s="361">
        <f t="shared" si="9"/>
        <v>1.6064203790237355</v>
      </c>
      <c r="E94" s="180">
        <v>19498.23</v>
      </c>
      <c r="F94" s="361">
        <f t="shared" si="10"/>
        <v>1.589474756338852</v>
      </c>
      <c r="G94" s="387">
        <f t="shared" si="11"/>
        <v>100</v>
      </c>
    </row>
    <row r="95" spans="1:7" ht="11.25">
      <c r="A95" s="414" t="s">
        <v>275</v>
      </c>
      <c r="B95" s="316"/>
      <c r="C95" s="327"/>
      <c r="D95" s="361">
        <f t="shared" si="9"/>
        <v>0</v>
      </c>
      <c r="E95" s="180"/>
      <c r="F95" s="361">
        <f t="shared" si="10"/>
        <v>0</v>
      </c>
      <c r="G95" s="387" t="e">
        <f t="shared" si="11"/>
        <v>#DIV/0!</v>
      </c>
    </row>
    <row r="96" spans="1:7" ht="11.25">
      <c r="A96" s="414" t="s">
        <v>276</v>
      </c>
      <c r="B96" s="316"/>
      <c r="C96" s="327">
        <v>57134.25</v>
      </c>
      <c r="D96" s="361">
        <f t="shared" si="9"/>
        <v>4.707177191993163</v>
      </c>
      <c r="E96" s="180">
        <v>57134.25</v>
      </c>
      <c r="F96" s="361">
        <f t="shared" si="10"/>
        <v>4.657522662177698</v>
      </c>
      <c r="G96" s="387">
        <f t="shared" si="11"/>
        <v>100</v>
      </c>
    </row>
    <row r="97" spans="1:7" ht="11.25">
      <c r="A97" s="414" t="s">
        <v>277</v>
      </c>
      <c r="B97" s="316"/>
      <c r="C97" s="327"/>
      <c r="D97" s="361">
        <f t="shared" si="9"/>
        <v>0</v>
      </c>
      <c r="E97" s="180"/>
      <c r="F97" s="361">
        <f t="shared" si="10"/>
        <v>0</v>
      </c>
      <c r="G97" s="387" t="e">
        <f t="shared" si="11"/>
        <v>#DIV/0!</v>
      </c>
    </row>
    <row r="98" spans="1:7" ht="11.25">
      <c r="A98" s="415" t="s">
        <v>278</v>
      </c>
      <c r="B98" s="192"/>
      <c r="C98" s="327"/>
      <c r="D98" s="361">
        <f t="shared" si="9"/>
        <v>0</v>
      </c>
      <c r="E98" s="180"/>
      <c r="F98" s="361">
        <f t="shared" si="10"/>
        <v>0</v>
      </c>
      <c r="G98" s="387" t="e">
        <f t="shared" si="11"/>
        <v>#DIV/0!</v>
      </c>
    </row>
    <row r="99" spans="1:7" ht="11.25">
      <c r="A99" s="414" t="s">
        <v>279</v>
      </c>
      <c r="B99" s="192"/>
      <c r="C99" s="327"/>
      <c r="D99" s="361">
        <f t="shared" si="9"/>
        <v>0</v>
      </c>
      <c r="E99" s="180"/>
      <c r="F99" s="361">
        <f t="shared" si="10"/>
        <v>0</v>
      </c>
      <c r="G99" s="387" t="e">
        <f t="shared" si="11"/>
        <v>#DIV/0!</v>
      </c>
    </row>
    <row r="100" spans="1:7" ht="11.25">
      <c r="A100" s="414" t="s">
        <v>280</v>
      </c>
      <c r="B100" s="192"/>
      <c r="C100" s="327"/>
      <c r="D100" s="361">
        <f t="shared" si="9"/>
        <v>0</v>
      </c>
      <c r="E100" s="180"/>
      <c r="F100" s="361">
        <f t="shared" si="10"/>
        <v>0</v>
      </c>
      <c r="G100" s="387" t="e">
        <f t="shared" si="11"/>
        <v>#DIV/0!</v>
      </c>
    </row>
    <row r="101" spans="1:7" ht="11.25">
      <c r="A101" s="414" t="s">
        <v>281</v>
      </c>
      <c r="B101" s="192"/>
      <c r="C101" s="327">
        <v>50413.02</v>
      </c>
      <c r="D101" s="361">
        <f t="shared" si="9"/>
        <v>4.153428423817504</v>
      </c>
      <c r="E101" s="180">
        <v>50413.02</v>
      </c>
      <c r="F101" s="361">
        <f t="shared" si="10"/>
        <v>4.109615215371122</v>
      </c>
      <c r="G101" s="387">
        <f t="shared" si="11"/>
        <v>100</v>
      </c>
    </row>
    <row r="102" spans="1:7" ht="11.25">
      <c r="A102" s="414" t="s">
        <v>282</v>
      </c>
      <c r="B102" s="192"/>
      <c r="C102" s="327"/>
      <c r="D102" s="361">
        <f t="shared" si="9"/>
        <v>0</v>
      </c>
      <c r="E102" s="180"/>
      <c r="F102" s="361">
        <f t="shared" si="10"/>
        <v>0</v>
      </c>
      <c r="G102" s="387" t="e">
        <f t="shared" si="11"/>
        <v>#DIV/0!</v>
      </c>
    </row>
    <row r="103" spans="1:7" ht="12" thickBot="1">
      <c r="A103" s="414" t="s">
        <v>283</v>
      </c>
      <c r="B103" s="192"/>
      <c r="C103" s="418"/>
      <c r="D103" s="362">
        <f t="shared" si="9"/>
        <v>0</v>
      </c>
      <c r="E103" s="448"/>
      <c r="F103" s="362">
        <f t="shared" si="10"/>
        <v>0</v>
      </c>
      <c r="G103" s="388" t="e">
        <f t="shared" si="11"/>
        <v>#DIV/0!</v>
      </c>
    </row>
    <row r="104" spans="1:7" ht="12" thickBot="1">
      <c r="A104" s="79"/>
      <c r="B104" s="192"/>
      <c r="C104" s="323"/>
      <c r="D104" s="187"/>
      <c r="E104" s="323"/>
      <c r="F104" s="187"/>
      <c r="G104" s="313"/>
    </row>
    <row r="105" spans="1:7" ht="12" thickBot="1">
      <c r="A105" s="302">
        <v>43</v>
      </c>
      <c r="B105" s="316" t="s">
        <v>20</v>
      </c>
      <c r="C105" s="317">
        <v>180000</v>
      </c>
      <c r="D105" s="533">
        <f>$C105/$C$178*100</f>
        <v>14.82984189971461</v>
      </c>
      <c r="E105" s="317">
        <v>180000</v>
      </c>
      <c r="F105" s="525">
        <f>$E105/$E$178*100</f>
        <v>14.673406567724012</v>
      </c>
      <c r="G105" s="389">
        <f>E105/C105*100</f>
        <v>100</v>
      </c>
    </row>
    <row r="106" spans="1:7" ht="12" thickBot="1">
      <c r="A106" s="302"/>
      <c r="B106" s="302"/>
      <c r="C106" s="181"/>
      <c r="D106" s="187"/>
      <c r="E106" s="181"/>
      <c r="F106" s="187"/>
      <c r="G106" s="313"/>
    </row>
    <row r="107" spans="1:7" ht="12" thickBot="1">
      <c r="A107" s="302">
        <v>4450</v>
      </c>
      <c r="B107" s="302" t="s">
        <v>77</v>
      </c>
      <c r="C107" s="317">
        <v>0</v>
      </c>
      <c r="D107" s="533">
        <f>$C107/$C$178*100</f>
        <v>0</v>
      </c>
      <c r="E107" s="317">
        <v>0</v>
      </c>
      <c r="F107" s="525">
        <f>$E107/$E$178*100</f>
        <v>0</v>
      </c>
      <c r="G107" s="389" t="e">
        <f>E107/C107*100</f>
        <v>#DIV/0!</v>
      </c>
    </row>
    <row r="108" spans="1:7" ht="12" thickBot="1">
      <c r="A108" s="79"/>
      <c r="B108" s="79"/>
      <c r="C108" s="416"/>
      <c r="D108" s="416"/>
      <c r="E108" s="416"/>
      <c r="F108" s="416"/>
      <c r="G108" s="416"/>
    </row>
    <row r="109" spans="1:7" ht="11.25">
      <c r="A109" s="414" t="s">
        <v>284</v>
      </c>
      <c r="B109" s="79"/>
      <c r="C109" s="559">
        <v>5000</v>
      </c>
      <c r="D109" s="360">
        <f aca="true" t="shared" si="12" ref="D109:D122">$C109/$C$178*100</f>
        <v>0.41194005276985024</v>
      </c>
      <c r="E109" s="447">
        <v>5000</v>
      </c>
      <c r="F109" s="360">
        <f aca="true" t="shared" si="13" ref="F109:F122">$E109/$E$178*100</f>
        <v>0.40759462688122255</v>
      </c>
      <c r="G109" s="383">
        <f aca="true" t="shared" si="14" ref="G109:G122">E109/C109*100</f>
        <v>100</v>
      </c>
    </row>
    <row r="110" spans="1:7" ht="11.25">
      <c r="A110" s="414" t="s">
        <v>285</v>
      </c>
      <c r="B110" s="79"/>
      <c r="C110" s="287">
        <v>1000</v>
      </c>
      <c r="D110" s="361">
        <f t="shared" si="12"/>
        <v>0.08238801055397006</v>
      </c>
      <c r="E110" s="180">
        <v>1000</v>
      </c>
      <c r="F110" s="361">
        <f t="shared" si="13"/>
        <v>0.08151892537624451</v>
      </c>
      <c r="G110" s="384">
        <f t="shared" si="14"/>
        <v>100</v>
      </c>
    </row>
    <row r="111" spans="1:7" ht="11.25">
      <c r="A111" s="414" t="s">
        <v>286</v>
      </c>
      <c r="B111" s="323"/>
      <c r="C111" s="287"/>
      <c r="D111" s="361">
        <f t="shared" si="12"/>
        <v>0</v>
      </c>
      <c r="E111" s="180"/>
      <c r="F111" s="361">
        <f t="shared" si="13"/>
        <v>0</v>
      </c>
      <c r="G111" s="384" t="e">
        <f t="shared" si="14"/>
        <v>#DIV/0!</v>
      </c>
    </row>
    <row r="112" spans="1:7" ht="11.25">
      <c r="A112" s="414" t="s">
        <v>287</v>
      </c>
      <c r="B112" s="79"/>
      <c r="C112" s="287"/>
      <c r="D112" s="361">
        <f t="shared" si="12"/>
        <v>0</v>
      </c>
      <c r="E112" s="180"/>
      <c r="F112" s="361">
        <f t="shared" si="13"/>
        <v>0</v>
      </c>
      <c r="G112" s="384" t="e">
        <f t="shared" si="14"/>
        <v>#DIV/0!</v>
      </c>
    </row>
    <row r="113" spans="1:7" s="182" customFormat="1" ht="11.25">
      <c r="A113" s="441">
        <v>461400</v>
      </c>
      <c r="B113" s="323" t="s">
        <v>97</v>
      </c>
      <c r="C113" s="287">
        <v>8000</v>
      </c>
      <c r="D113" s="361">
        <f t="shared" si="12"/>
        <v>0.6591040844317605</v>
      </c>
      <c r="E113" s="180">
        <v>8000</v>
      </c>
      <c r="F113" s="361">
        <f t="shared" si="13"/>
        <v>0.6521514030099561</v>
      </c>
      <c r="G113" s="384">
        <f t="shared" si="14"/>
        <v>100</v>
      </c>
    </row>
    <row r="114" spans="1:7" s="182" customFormat="1" ht="11.25">
      <c r="A114" s="441">
        <v>461500</v>
      </c>
      <c r="B114" s="323" t="s">
        <v>21</v>
      </c>
      <c r="C114" s="287"/>
      <c r="D114" s="361">
        <f t="shared" si="12"/>
        <v>0</v>
      </c>
      <c r="E114" s="180"/>
      <c r="F114" s="361">
        <f t="shared" si="13"/>
        <v>0</v>
      </c>
      <c r="G114" s="384" t="e">
        <f t="shared" si="14"/>
        <v>#DIV/0!</v>
      </c>
    </row>
    <row r="115" spans="1:7" ht="11.25">
      <c r="A115" s="414" t="s">
        <v>288</v>
      </c>
      <c r="B115" s="79"/>
      <c r="C115" s="287">
        <v>2500</v>
      </c>
      <c r="D115" s="361">
        <f t="shared" si="12"/>
        <v>0.20597002638492512</v>
      </c>
      <c r="E115" s="180">
        <v>2500</v>
      </c>
      <c r="F115" s="361">
        <f t="shared" si="13"/>
        <v>0.20379731344061128</v>
      </c>
      <c r="G115" s="384">
        <f t="shared" si="14"/>
        <v>100</v>
      </c>
    </row>
    <row r="116" spans="1:7" ht="11.25">
      <c r="A116" s="414" t="s">
        <v>289</v>
      </c>
      <c r="B116" s="79"/>
      <c r="C116" s="287">
        <v>1500</v>
      </c>
      <c r="D116" s="361">
        <f t="shared" si="12"/>
        <v>0.12358201583095509</v>
      </c>
      <c r="E116" s="180">
        <v>1500</v>
      </c>
      <c r="F116" s="361">
        <f t="shared" si="13"/>
        <v>0.12227838806436676</v>
      </c>
      <c r="G116" s="384">
        <f t="shared" si="14"/>
        <v>100</v>
      </c>
    </row>
    <row r="117" spans="1:7" s="182" customFormat="1" ht="11.25">
      <c r="A117" s="443" t="s">
        <v>318</v>
      </c>
      <c r="B117" s="323"/>
      <c r="C117" s="287">
        <v>10000</v>
      </c>
      <c r="D117" s="361">
        <f t="shared" si="12"/>
        <v>0.8238801055397005</v>
      </c>
      <c r="E117" s="180">
        <v>10000</v>
      </c>
      <c r="F117" s="361">
        <f t="shared" si="13"/>
        <v>0.8151892537624451</v>
      </c>
      <c r="G117" s="384">
        <f t="shared" si="14"/>
        <v>100</v>
      </c>
    </row>
    <row r="118" spans="1:7" ht="11.25">
      <c r="A118" s="414" t="s">
        <v>290</v>
      </c>
      <c r="B118" s="79"/>
      <c r="C118" s="287"/>
      <c r="D118" s="361">
        <f t="shared" si="12"/>
        <v>0</v>
      </c>
      <c r="E118" s="180"/>
      <c r="F118" s="361">
        <f t="shared" si="13"/>
        <v>0</v>
      </c>
      <c r="G118" s="384" t="e">
        <f t="shared" si="14"/>
        <v>#DIV/0!</v>
      </c>
    </row>
    <row r="119" spans="1:7" ht="11.25">
      <c r="A119" s="414" t="s">
        <v>291</v>
      </c>
      <c r="B119" s="79"/>
      <c r="C119" s="287">
        <v>10000</v>
      </c>
      <c r="D119" s="361">
        <f t="shared" si="12"/>
        <v>0.8238801055397005</v>
      </c>
      <c r="E119" s="180">
        <v>10000</v>
      </c>
      <c r="F119" s="361">
        <f t="shared" si="13"/>
        <v>0.8151892537624451</v>
      </c>
      <c r="G119" s="384">
        <f t="shared" si="14"/>
        <v>100</v>
      </c>
    </row>
    <row r="120" spans="1:7" ht="11.25">
      <c r="A120" s="414" t="s">
        <v>292</v>
      </c>
      <c r="B120" s="79"/>
      <c r="C120" s="287"/>
      <c r="D120" s="361">
        <f t="shared" si="12"/>
        <v>0</v>
      </c>
      <c r="E120" s="180"/>
      <c r="F120" s="361">
        <f t="shared" si="13"/>
        <v>0</v>
      </c>
      <c r="G120" s="384" t="e">
        <f t="shared" si="14"/>
        <v>#DIV/0!</v>
      </c>
    </row>
    <row r="121" spans="1:7" ht="11.25">
      <c r="A121" s="414" t="s">
        <v>293</v>
      </c>
      <c r="B121" s="79"/>
      <c r="C121" s="287">
        <v>8000</v>
      </c>
      <c r="D121" s="361">
        <f t="shared" si="12"/>
        <v>0.6591040844317605</v>
      </c>
      <c r="E121" s="180">
        <v>8000</v>
      </c>
      <c r="F121" s="361">
        <f t="shared" si="13"/>
        <v>0.6521514030099561</v>
      </c>
      <c r="G121" s="384">
        <f t="shared" si="14"/>
        <v>100</v>
      </c>
    </row>
    <row r="122" spans="1:7" ht="12" thickBot="1">
      <c r="A122" s="414" t="s">
        <v>423</v>
      </c>
      <c r="B122" s="79" t="s">
        <v>422</v>
      </c>
      <c r="C122" s="322">
        <v>5000</v>
      </c>
      <c r="D122" s="362">
        <f t="shared" si="12"/>
        <v>0.41194005276985024</v>
      </c>
      <c r="E122" s="448">
        <v>5000</v>
      </c>
      <c r="F122" s="362">
        <f t="shared" si="13"/>
        <v>0.40759462688122255</v>
      </c>
      <c r="G122" s="421">
        <f t="shared" si="14"/>
        <v>100</v>
      </c>
    </row>
    <row r="123" spans="1:7" ht="13.5">
      <c r="A123" s="34"/>
      <c r="B123" s="35" t="s">
        <v>166</v>
      </c>
      <c r="C123" s="34"/>
      <c r="D123" s="34"/>
      <c r="E123" s="34"/>
      <c r="F123"/>
      <c r="G123" s="304" t="s">
        <v>350</v>
      </c>
    </row>
    <row r="124" spans="1:6" ht="13.5">
      <c r="A124" s="34"/>
      <c r="B124" s="37" t="s">
        <v>33</v>
      </c>
      <c r="C124" s="34" t="s">
        <v>218</v>
      </c>
      <c r="D124" s="34"/>
      <c r="E124" s="34"/>
      <c r="F124" s="45"/>
    </row>
    <row r="125" spans="1:6" ht="13.5">
      <c r="A125" s="162"/>
      <c r="B125" s="37" t="s">
        <v>34</v>
      </c>
      <c r="C125" s="34" t="s">
        <v>219</v>
      </c>
      <c r="D125" s="34"/>
      <c r="E125" s="34"/>
      <c r="F125" s="45"/>
    </row>
    <row r="126" spans="1:6" ht="18">
      <c r="A126" s="34"/>
      <c r="B126" s="38" t="s">
        <v>35</v>
      </c>
      <c r="C126" s="34" t="s">
        <v>220</v>
      </c>
      <c r="D126" s="34"/>
      <c r="E126" s="34"/>
      <c r="F126" s="51"/>
    </row>
    <row r="127" spans="1:6" ht="13.5">
      <c r="A127" s="34"/>
      <c r="B127" s="34"/>
      <c r="C127" s="34" t="s">
        <v>378</v>
      </c>
      <c r="D127" s="34"/>
      <c r="E127" s="34"/>
      <c r="F127" s="48"/>
    </row>
    <row r="128" spans="1:7" ht="12.75">
      <c r="A128" s="303"/>
      <c r="B128" s="124"/>
      <c r="C128" s="303"/>
      <c r="D128" s="303"/>
      <c r="E128" s="303"/>
      <c r="F128" s="306"/>
      <c r="G128" s="306"/>
    </row>
    <row r="129" spans="1:7" ht="12.75">
      <c r="A129" s="303"/>
      <c r="B129" s="307" t="s">
        <v>374</v>
      </c>
      <c r="C129" s="79"/>
      <c r="D129" s="79"/>
      <c r="E129" s="79"/>
      <c r="F129" s="306"/>
      <c r="G129" s="306"/>
    </row>
    <row r="130" spans="2:6" ht="12.75">
      <c r="B130" s="79"/>
      <c r="C130" s="79"/>
      <c r="D130" s="79"/>
      <c r="E130" s="79"/>
      <c r="F130" s="303"/>
    </row>
    <row r="131" spans="1:6" ht="12.75">
      <c r="A131" s="303"/>
      <c r="B131" s="302" t="s">
        <v>151</v>
      </c>
      <c r="C131" s="79"/>
      <c r="D131" s="79"/>
      <c r="E131" s="79"/>
      <c r="F131" s="303"/>
    </row>
    <row r="132" spans="1:6" ht="12.75">
      <c r="A132" s="303"/>
      <c r="B132" s="79"/>
      <c r="C132" s="79"/>
      <c r="D132" s="79"/>
      <c r="E132" s="79"/>
      <c r="F132" s="303"/>
    </row>
    <row r="133" spans="2:5" ht="13.5">
      <c r="B133" s="85" t="s">
        <v>84</v>
      </c>
      <c r="C133" s="79"/>
      <c r="D133" s="79"/>
      <c r="E133" s="79"/>
    </row>
    <row r="134" spans="1:7" ht="11.25">
      <c r="A134" s="122">
        <v>1</v>
      </c>
      <c r="B134" s="122">
        <v>2</v>
      </c>
      <c r="C134" s="122">
        <v>3</v>
      </c>
      <c r="D134" s="122">
        <v>4</v>
      </c>
      <c r="E134" s="122">
        <v>5</v>
      </c>
      <c r="F134" s="122">
        <v>6</v>
      </c>
      <c r="G134" s="122">
        <v>7</v>
      </c>
    </row>
    <row r="135" ht="12" thickBot="1">
      <c r="D135" s="122"/>
    </row>
    <row r="136" spans="1:7" ht="11.25">
      <c r="A136" s="302"/>
      <c r="B136" s="309" t="s">
        <v>7</v>
      </c>
      <c r="C136" s="445" t="s">
        <v>365</v>
      </c>
      <c r="D136" s="424" t="s">
        <v>28</v>
      </c>
      <c r="E136" s="544" t="s">
        <v>380</v>
      </c>
      <c r="F136" s="424" t="s">
        <v>28</v>
      </c>
      <c r="G136" s="451" t="s">
        <v>13</v>
      </c>
    </row>
    <row r="137" spans="1:7" ht="12" thickBot="1">
      <c r="A137" s="79"/>
      <c r="B137" s="79"/>
      <c r="C137" s="526" t="s">
        <v>16</v>
      </c>
      <c r="D137" s="425" t="s">
        <v>15</v>
      </c>
      <c r="E137" s="527" t="s">
        <v>16</v>
      </c>
      <c r="F137" s="425" t="s">
        <v>15</v>
      </c>
      <c r="G137" s="426" t="s">
        <v>40</v>
      </c>
    </row>
    <row r="138" spans="1:7" ht="11.25">
      <c r="A138" s="414"/>
      <c r="B138" s="79"/>
      <c r="C138" s="559"/>
      <c r="D138" s="361"/>
      <c r="E138" s="180"/>
      <c r="F138" s="361">
        <f aca="true" t="shared" si="15" ref="F138:F155">$E138/$E$178*100</f>
        <v>0</v>
      </c>
      <c r="G138" s="387" t="e">
        <f aca="true" t="shared" si="16" ref="G138:G155">E138/C138*100</f>
        <v>#DIV/0!</v>
      </c>
    </row>
    <row r="139" spans="1:7" ht="11.25">
      <c r="A139" s="414" t="s">
        <v>294</v>
      </c>
      <c r="B139" s="79"/>
      <c r="C139" s="287"/>
      <c r="D139" s="361">
        <f aca="true" t="shared" si="17" ref="D139:D155">$C139/$C$178*100</f>
        <v>0</v>
      </c>
      <c r="E139" s="180"/>
      <c r="F139" s="361">
        <f t="shared" si="15"/>
        <v>0</v>
      </c>
      <c r="G139" s="387" t="e">
        <f t="shared" si="16"/>
        <v>#DIV/0!</v>
      </c>
    </row>
    <row r="140" spans="1:7" ht="11.25">
      <c r="A140" s="414" t="s">
        <v>295</v>
      </c>
      <c r="B140" s="79"/>
      <c r="C140" s="287"/>
      <c r="D140" s="361">
        <f t="shared" si="17"/>
        <v>0</v>
      </c>
      <c r="E140" s="180"/>
      <c r="F140" s="361">
        <f t="shared" si="15"/>
        <v>0</v>
      </c>
      <c r="G140" s="387" t="e">
        <f t="shared" si="16"/>
        <v>#DIV/0!</v>
      </c>
    </row>
    <row r="141" spans="1:7" ht="11.25">
      <c r="A141" s="439" t="s">
        <v>319</v>
      </c>
      <c r="B141" s="79"/>
      <c r="C141" s="287"/>
      <c r="D141" s="361">
        <f t="shared" si="17"/>
        <v>0</v>
      </c>
      <c r="E141" s="180"/>
      <c r="F141" s="361">
        <f t="shared" si="15"/>
        <v>0</v>
      </c>
      <c r="G141" s="387" t="e">
        <f t="shared" si="16"/>
        <v>#DIV/0!</v>
      </c>
    </row>
    <row r="142" spans="1:7" ht="11.25">
      <c r="A142" s="439" t="s">
        <v>321</v>
      </c>
      <c r="B142" s="79"/>
      <c r="C142" s="287"/>
      <c r="D142" s="361">
        <f t="shared" si="17"/>
        <v>0</v>
      </c>
      <c r="E142" s="180"/>
      <c r="F142" s="361">
        <f t="shared" si="15"/>
        <v>0</v>
      </c>
      <c r="G142" s="387" t="e">
        <f t="shared" si="16"/>
        <v>#DIV/0!</v>
      </c>
    </row>
    <row r="143" spans="1:7" ht="11.25">
      <c r="A143" s="414" t="s">
        <v>296</v>
      </c>
      <c r="B143" s="79"/>
      <c r="C143" s="287"/>
      <c r="D143" s="361">
        <f t="shared" si="17"/>
        <v>0</v>
      </c>
      <c r="E143" s="180"/>
      <c r="F143" s="361">
        <f t="shared" si="15"/>
        <v>0</v>
      </c>
      <c r="G143" s="387" t="e">
        <f t="shared" si="16"/>
        <v>#DIV/0!</v>
      </c>
    </row>
    <row r="144" spans="1:7" ht="11.25">
      <c r="A144" s="439" t="s">
        <v>320</v>
      </c>
      <c r="B144" s="79"/>
      <c r="C144" s="287"/>
      <c r="D144" s="361">
        <f t="shared" si="17"/>
        <v>0</v>
      </c>
      <c r="E144" s="180"/>
      <c r="F144" s="361">
        <f t="shared" si="15"/>
        <v>0</v>
      </c>
      <c r="G144" s="387" t="e">
        <f t="shared" si="16"/>
        <v>#DIV/0!</v>
      </c>
    </row>
    <row r="145" spans="1:7" ht="11.25">
      <c r="A145" s="414" t="s">
        <v>297</v>
      </c>
      <c r="B145" s="79"/>
      <c r="C145" s="287"/>
      <c r="D145" s="361">
        <f t="shared" si="17"/>
        <v>0</v>
      </c>
      <c r="E145" s="180"/>
      <c r="F145" s="361">
        <f t="shared" si="15"/>
        <v>0</v>
      </c>
      <c r="G145" s="387" t="e">
        <f t="shared" si="16"/>
        <v>#DIV/0!</v>
      </c>
    </row>
    <row r="146" spans="1:7" ht="11.25">
      <c r="A146" s="414" t="s">
        <v>298</v>
      </c>
      <c r="B146" s="79"/>
      <c r="C146" s="287"/>
      <c r="D146" s="361">
        <f t="shared" si="17"/>
        <v>0</v>
      </c>
      <c r="E146" s="180"/>
      <c r="F146" s="361">
        <f t="shared" si="15"/>
        <v>0</v>
      </c>
      <c r="G146" s="387" t="e">
        <f t="shared" si="16"/>
        <v>#DIV/0!</v>
      </c>
    </row>
    <row r="147" spans="1:7" ht="11.25">
      <c r="A147" s="414" t="s">
        <v>299</v>
      </c>
      <c r="B147" s="79"/>
      <c r="C147" s="287"/>
      <c r="D147" s="361">
        <f t="shared" si="17"/>
        <v>0</v>
      </c>
      <c r="E147" s="180"/>
      <c r="F147" s="361">
        <f t="shared" si="15"/>
        <v>0</v>
      </c>
      <c r="G147" s="387" t="e">
        <f t="shared" si="16"/>
        <v>#DIV/0!</v>
      </c>
    </row>
    <row r="148" spans="1:7" ht="11.25">
      <c r="A148" s="414" t="s">
        <v>300</v>
      </c>
      <c r="B148" s="79"/>
      <c r="C148" s="287"/>
      <c r="D148" s="361">
        <f t="shared" si="17"/>
        <v>0</v>
      </c>
      <c r="E148" s="180"/>
      <c r="F148" s="361">
        <f t="shared" si="15"/>
        <v>0</v>
      </c>
      <c r="G148" s="387" t="e">
        <f t="shared" si="16"/>
        <v>#DIV/0!</v>
      </c>
    </row>
    <row r="149" spans="1:7" ht="11.25">
      <c r="A149" s="414" t="s">
        <v>301</v>
      </c>
      <c r="B149" s="79"/>
      <c r="C149" s="287">
        <v>1920</v>
      </c>
      <c r="D149" s="361">
        <f t="shared" si="17"/>
        <v>0.15818498026362252</v>
      </c>
      <c r="E149" s="180">
        <v>1920</v>
      </c>
      <c r="F149" s="361">
        <f t="shared" si="15"/>
        <v>0.15651633672238946</v>
      </c>
      <c r="G149" s="387">
        <f t="shared" si="16"/>
        <v>100</v>
      </c>
    </row>
    <row r="150" spans="1:7" ht="11.25">
      <c r="A150" s="414" t="s">
        <v>302</v>
      </c>
      <c r="B150" s="79"/>
      <c r="C150" s="287"/>
      <c r="D150" s="361">
        <f t="shared" si="17"/>
        <v>0</v>
      </c>
      <c r="E150" s="180"/>
      <c r="F150" s="361">
        <f t="shared" si="15"/>
        <v>0</v>
      </c>
      <c r="G150" s="387" t="e">
        <f t="shared" si="16"/>
        <v>#DIV/0!</v>
      </c>
    </row>
    <row r="151" spans="1:7" ht="11.25">
      <c r="A151" s="414" t="s">
        <v>303</v>
      </c>
      <c r="B151" s="79"/>
      <c r="C151" s="287"/>
      <c r="D151" s="361">
        <f t="shared" si="17"/>
        <v>0</v>
      </c>
      <c r="E151" s="180"/>
      <c r="F151" s="361">
        <f t="shared" si="15"/>
        <v>0</v>
      </c>
      <c r="G151" s="387" t="e">
        <f t="shared" si="16"/>
        <v>#DIV/0!</v>
      </c>
    </row>
    <row r="152" spans="1:7" ht="11.25">
      <c r="A152" s="414" t="s">
        <v>304</v>
      </c>
      <c r="B152" s="79"/>
      <c r="C152" s="287">
        <v>1000</v>
      </c>
      <c r="D152" s="361">
        <f t="shared" si="17"/>
        <v>0.08238801055397006</v>
      </c>
      <c r="E152" s="180">
        <v>1000</v>
      </c>
      <c r="F152" s="361">
        <f t="shared" si="15"/>
        <v>0.08151892537624451</v>
      </c>
      <c r="G152" s="387">
        <f t="shared" si="16"/>
        <v>100</v>
      </c>
    </row>
    <row r="153" spans="1:7" ht="11.25">
      <c r="A153" s="414" t="s">
        <v>305</v>
      </c>
      <c r="B153" s="79"/>
      <c r="C153" s="287">
        <v>1000</v>
      </c>
      <c r="D153" s="361">
        <f t="shared" si="17"/>
        <v>0.08238801055397006</v>
      </c>
      <c r="E153" s="180">
        <v>1000</v>
      </c>
      <c r="F153" s="361">
        <f t="shared" si="15"/>
        <v>0.08151892537624451</v>
      </c>
      <c r="G153" s="387">
        <f t="shared" si="16"/>
        <v>100</v>
      </c>
    </row>
    <row r="154" spans="1:7" ht="12" thickBot="1">
      <c r="A154" s="79"/>
      <c r="B154" s="79"/>
      <c r="C154" s="322"/>
      <c r="D154" s="361">
        <f t="shared" si="17"/>
        <v>0</v>
      </c>
      <c r="E154" s="180"/>
      <c r="F154" s="361">
        <f t="shared" si="15"/>
        <v>0</v>
      </c>
      <c r="G154" s="387" t="e">
        <f t="shared" si="16"/>
        <v>#DIV/0!</v>
      </c>
    </row>
    <row r="155" spans="1:7" ht="12" thickBot="1">
      <c r="A155" s="302">
        <v>46</v>
      </c>
      <c r="B155" s="316" t="s">
        <v>98</v>
      </c>
      <c r="C155" s="500">
        <f>SUM(C109:C122,C138:C154)</f>
        <v>54920</v>
      </c>
      <c r="D155" s="363">
        <f t="shared" si="17"/>
        <v>4.524749539624035</v>
      </c>
      <c r="E155" s="438">
        <f>SUM(E109:E122,E138:E154)</f>
        <v>54920</v>
      </c>
      <c r="F155" s="363">
        <f t="shared" si="15"/>
        <v>4.477019381663348</v>
      </c>
      <c r="G155" s="389">
        <f t="shared" si="16"/>
        <v>100</v>
      </c>
    </row>
    <row r="156" spans="1:7" ht="11.25">
      <c r="A156" s="79"/>
      <c r="B156" s="79"/>
      <c r="C156" s="79"/>
      <c r="D156" s="79"/>
      <c r="E156" s="79"/>
      <c r="F156" s="79"/>
      <c r="G156" s="313"/>
    </row>
    <row r="157" spans="1:7" ht="12" thickBot="1">
      <c r="A157" s="79"/>
      <c r="B157" s="79"/>
      <c r="C157" s="79"/>
      <c r="D157" s="79"/>
      <c r="E157" s="79"/>
      <c r="F157" s="79"/>
      <c r="G157" s="313"/>
    </row>
    <row r="158" spans="1:7" ht="11.25">
      <c r="A158" s="414" t="s">
        <v>306</v>
      </c>
      <c r="B158" s="79"/>
      <c r="C158" s="440"/>
      <c r="D158" s="413"/>
      <c r="E158" s="529"/>
      <c r="F158" s="360">
        <f>$E158/$E$178*100</f>
        <v>0</v>
      </c>
      <c r="G158" s="383" t="e">
        <f>E158/C158*100</f>
        <v>#DIV/0!</v>
      </c>
    </row>
    <row r="159" spans="1:7" ht="11.25">
      <c r="A159" s="414" t="s">
        <v>307</v>
      </c>
      <c r="B159" s="79"/>
      <c r="C159" s="328">
        <v>30000</v>
      </c>
      <c r="D159" s="361">
        <f>$C159/$C$178*100</f>
        <v>2.471640316619102</v>
      </c>
      <c r="E159" s="511">
        <v>30000</v>
      </c>
      <c r="F159" s="361">
        <f>$E159/$E$178*100</f>
        <v>2.445567761287335</v>
      </c>
      <c r="G159" s="384">
        <f>E159/C159*100</f>
        <v>100</v>
      </c>
    </row>
    <row r="160" spans="1:7" ht="11.25">
      <c r="A160" s="414" t="s">
        <v>308</v>
      </c>
      <c r="B160" s="79"/>
      <c r="C160" s="328">
        <v>1000</v>
      </c>
      <c r="D160" s="361">
        <f>$C160/$C$178*100</f>
        <v>0.08238801055397006</v>
      </c>
      <c r="E160" s="511">
        <v>1000</v>
      </c>
      <c r="F160" s="361">
        <f>$E160/$E$178*100</f>
        <v>0.08151892537624451</v>
      </c>
      <c r="G160" s="384">
        <f>E160/C160*100</f>
        <v>100</v>
      </c>
    </row>
    <row r="161" spans="1:7" ht="11.25">
      <c r="A161" s="414" t="s">
        <v>309</v>
      </c>
      <c r="B161" s="79"/>
      <c r="C161" s="331"/>
      <c r="D161" s="361">
        <f>$C161/$C$178*100</f>
        <v>0</v>
      </c>
      <c r="E161" s="333"/>
      <c r="F161" s="361">
        <f>$E161/$E$178*100</f>
        <v>0</v>
      </c>
      <c r="G161" s="384" t="e">
        <f>E161/C161*100</f>
        <v>#DIV/0!</v>
      </c>
    </row>
    <row r="162" spans="1:7" ht="12" thickBot="1">
      <c r="A162" s="414" t="s">
        <v>310</v>
      </c>
      <c r="B162" s="79"/>
      <c r="C162" s="332"/>
      <c r="D162" s="362">
        <f>$C162/$C$178*100</f>
        <v>0</v>
      </c>
      <c r="E162" s="522"/>
      <c r="F162" s="362">
        <f>$E162/$E$178*100</f>
        <v>0</v>
      </c>
      <c r="G162" s="421" t="e">
        <f>E162/C162*100</f>
        <v>#DIV/0!</v>
      </c>
    </row>
    <row r="163" spans="1:7" ht="12" thickBot="1">
      <c r="A163" s="79"/>
      <c r="B163" s="79"/>
      <c r="C163" s="333"/>
      <c r="D163" s="286"/>
      <c r="E163" s="333"/>
      <c r="F163" s="286"/>
      <c r="G163" s="313"/>
    </row>
    <row r="164" spans="1:7" ht="12" thickBot="1">
      <c r="A164" s="302">
        <v>47</v>
      </c>
      <c r="B164" s="316" t="s">
        <v>144</v>
      </c>
      <c r="C164" s="427">
        <f>+SUM(C158:C162)</f>
        <v>31000</v>
      </c>
      <c r="D164" s="363">
        <f>$C164/$C$178*100</f>
        <v>2.554028327173072</v>
      </c>
      <c r="E164" s="427">
        <f>+SUM(E158:E162)</f>
        <v>31000</v>
      </c>
      <c r="F164" s="363">
        <f>$E164/$E$178*100</f>
        <v>2.52708668666358</v>
      </c>
      <c r="G164" s="389">
        <f>E164/C164*100</f>
        <v>100</v>
      </c>
    </row>
    <row r="165" spans="1:7" ht="12" thickBot="1">
      <c r="A165" s="302"/>
      <c r="B165" s="316"/>
      <c r="C165" s="333"/>
      <c r="D165" s="286"/>
      <c r="E165" s="333"/>
      <c r="F165" s="286"/>
      <c r="G165" s="313"/>
    </row>
    <row r="166" spans="1:7" ht="11.25">
      <c r="A166" s="414" t="s">
        <v>311</v>
      </c>
      <c r="B166" s="312"/>
      <c r="C166" s="330">
        <v>0</v>
      </c>
      <c r="D166" s="360">
        <f>$C166/$C$178*100</f>
        <v>0</v>
      </c>
      <c r="E166" s="523">
        <v>0</v>
      </c>
      <c r="F166" s="360">
        <f>$E166/$E$178*100</f>
        <v>0</v>
      </c>
      <c r="G166" s="383" t="e">
        <f aca="true" t="shared" si="18" ref="G166:G171">E166/C166*100</f>
        <v>#DIV/0!</v>
      </c>
    </row>
    <row r="167" spans="1:7" ht="11.25">
      <c r="A167" s="414" t="s">
        <v>312</v>
      </c>
      <c r="B167" s="312"/>
      <c r="C167" s="331"/>
      <c r="D167" s="361">
        <f>$C167/$C$178*100</f>
        <v>0</v>
      </c>
      <c r="E167" s="333"/>
      <c r="F167" s="361">
        <f>$E167/$E$178*100</f>
        <v>0</v>
      </c>
      <c r="G167" s="384" t="e">
        <f t="shared" si="18"/>
        <v>#DIV/0!</v>
      </c>
    </row>
    <row r="168" spans="1:7" ht="11.25">
      <c r="A168" s="414" t="s">
        <v>313</v>
      </c>
      <c r="B168" s="312"/>
      <c r="C168" s="331"/>
      <c r="D168" s="361">
        <f>$C168/$C$178*100</f>
        <v>0</v>
      </c>
      <c r="E168" s="333"/>
      <c r="F168" s="361">
        <f>$E168/$E$178*100</f>
        <v>0</v>
      </c>
      <c r="G168" s="384" t="e">
        <f t="shared" si="18"/>
        <v>#DIV/0!</v>
      </c>
    </row>
    <row r="169" spans="1:7" ht="12" thickBot="1">
      <c r="A169" s="414" t="s">
        <v>314</v>
      </c>
      <c r="B169" s="79"/>
      <c r="C169" s="332"/>
      <c r="D169" s="362">
        <f>$C169/$C$178*100</f>
        <v>0</v>
      </c>
      <c r="E169" s="522"/>
      <c r="F169" s="362">
        <f>$E169/$E$178*100</f>
        <v>0</v>
      </c>
      <c r="G169" s="421" t="e">
        <f t="shared" si="18"/>
        <v>#DIV/0!</v>
      </c>
    </row>
    <row r="170" spans="1:7" ht="12" thickBot="1">
      <c r="A170" s="79"/>
      <c r="B170" s="79"/>
      <c r="C170" s="333"/>
      <c r="D170" s="336"/>
      <c r="E170" s="333"/>
      <c r="F170" s="336"/>
      <c r="G170" s="313"/>
    </row>
    <row r="171" spans="1:7" ht="12" thickBot="1">
      <c r="A171" s="316">
        <v>48</v>
      </c>
      <c r="B171" s="316" t="s">
        <v>122</v>
      </c>
      <c r="C171" s="500">
        <f>+SUM(C166:C170)</f>
        <v>0</v>
      </c>
      <c r="D171" s="525">
        <f>$C171/$C$178*100</f>
        <v>0</v>
      </c>
      <c r="E171" s="500">
        <f>+SUM(E166:E170)</f>
        <v>0</v>
      </c>
      <c r="F171" s="525">
        <f>$E171/$E$178*100</f>
        <v>0</v>
      </c>
      <c r="G171" s="389" t="e">
        <f t="shared" si="18"/>
        <v>#DIV/0!</v>
      </c>
    </row>
    <row r="172" spans="1:7" ht="12" thickBot="1">
      <c r="A172" s="79"/>
      <c r="B172" s="79"/>
      <c r="C172" s="79"/>
      <c r="D172" s="286"/>
      <c r="E172" s="79"/>
      <c r="F172" s="286"/>
      <c r="G172" s="313"/>
    </row>
    <row r="173" spans="1:7" ht="11.25">
      <c r="A173" s="414" t="s">
        <v>315</v>
      </c>
      <c r="B173" s="79"/>
      <c r="C173" s="330">
        <v>190000</v>
      </c>
      <c r="D173" s="360">
        <f>$C173/$C$178*100</f>
        <v>15.653722005254311</v>
      </c>
      <c r="E173" s="523">
        <v>190000</v>
      </c>
      <c r="F173" s="360">
        <f>$E173/$E$178*100</f>
        <v>15.488595821486456</v>
      </c>
      <c r="G173" s="383">
        <f>E173/C173*100</f>
        <v>100</v>
      </c>
    </row>
    <row r="174" spans="1:7" ht="12" thickBot="1">
      <c r="A174" s="414" t="s">
        <v>316</v>
      </c>
      <c r="B174" s="79"/>
      <c r="C174" s="531">
        <v>0</v>
      </c>
      <c r="D174" s="362">
        <f>$C174/$C$178*100</f>
        <v>0</v>
      </c>
      <c r="E174" s="532">
        <v>0</v>
      </c>
      <c r="F174" s="362">
        <f>$E174/$E$178*100</f>
        <v>0</v>
      </c>
      <c r="G174" s="421" t="e">
        <f>E174/C174*100</f>
        <v>#DIV/0!</v>
      </c>
    </row>
    <row r="175" spans="1:7" ht="12" thickBot="1">
      <c r="A175" s="79"/>
      <c r="B175" s="79"/>
      <c r="C175" s="335"/>
      <c r="D175" s="430"/>
      <c r="E175" s="335"/>
      <c r="F175" s="530"/>
      <c r="G175" s="388"/>
    </row>
    <row r="176" spans="1:7" ht="12" thickBot="1">
      <c r="A176" s="302">
        <v>71</v>
      </c>
      <c r="B176" s="79"/>
      <c r="C176" s="534">
        <f>+SUM(C173:C174)</f>
        <v>190000</v>
      </c>
      <c r="D176" s="525">
        <f>$C176/$C$178*100</f>
        <v>15.653722005254311</v>
      </c>
      <c r="E176" s="534">
        <f>+SUM(E173:E174)</f>
        <v>190000</v>
      </c>
      <c r="F176" s="525">
        <f>$E176/$E$178*100</f>
        <v>15.488595821486456</v>
      </c>
      <c r="G176" s="389">
        <f>E176/C176*100</f>
        <v>100</v>
      </c>
    </row>
    <row r="177" spans="1:7" s="321" customFormat="1" ht="12" thickBot="1">
      <c r="A177" s="416"/>
      <c r="B177" s="416"/>
      <c r="C177" s="329"/>
      <c r="D177" s="336"/>
      <c r="E177" s="329"/>
      <c r="F177" s="336"/>
      <c r="G177" s="313"/>
    </row>
    <row r="178" spans="1:7" ht="12" thickBot="1">
      <c r="A178" s="79"/>
      <c r="B178" s="316" t="s">
        <v>102</v>
      </c>
      <c r="C178" s="317">
        <f>C37+C90+C92+C105+C107+C155+C164+C171+C176</f>
        <v>1213768.84</v>
      </c>
      <c r="D178" s="525">
        <f>$C178/$C$178*100</f>
        <v>100</v>
      </c>
      <c r="E178" s="317">
        <f>+SUM(E171,E155,E107,E105,E92,E90,E37,E173,E174,E164)</f>
        <v>1226709.007</v>
      </c>
      <c r="F178" s="525">
        <f>$E178/$E$178*100</f>
        <v>100</v>
      </c>
      <c r="G178" s="389">
        <f>E178/C178*100</f>
        <v>101.06611461536612</v>
      </c>
    </row>
    <row r="179" spans="1:7" ht="11.25">
      <c r="A179" s="79"/>
      <c r="B179" s="302"/>
      <c r="C179" s="181"/>
      <c r="D179" s="305"/>
      <c r="E179" s="181"/>
      <c r="F179" s="187"/>
      <c r="G179" s="337"/>
    </row>
    <row r="180" ht="11.25">
      <c r="A180" s="79"/>
    </row>
    <row r="182" ht="11.25">
      <c r="C182" s="122"/>
    </row>
    <row r="183" ht="11.25">
      <c r="C183" s="122"/>
    </row>
    <row r="184" ht="11.25">
      <c r="C184" s="122"/>
    </row>
    <row r="185" ht="11.25">
      <c r="C185" s="122"/>
    </row>
    <row r="189" ht="11.25">
      <c r="E189" s="169" t="e">
        <f>E178+'PJ-PiJP-rashod-ok'!#REF!+'PJ-GiPU-rashod-ok'!#REF!+'PJ PARKING RASHOD'!#REF!+'PJ-ZS-rashod-ok'!#REF!</f>
        <v>#REF!</v>
      </c>
    </row>
    <row r="200" ht="11.25">
      <c r="C200" s="122"/>
    </row>
    <row r="223" spans="6:7" ht="11.25">
      <c r="F223" s="182"/>
      <c r="G223" s="338"/>
    </row>
    <row r="224" spans="2:7" ht="11.25">
      <c r="B224" s="339"/>
      <c r="C224" s="20"/>
      <c r="F224" s="182"/>
      <c r="G224" s="338"/>
    </row>
    <row r="225" spans="2:7" ht="11.25">
      <c r="B225" s="339"/>
      <c r="F225" s="182"/>
      <c r="G225" s="169"/>
    </row>
    <row r="226" spans="3:7" ht="11.25">
      <c r="C226" s="324"/>
      <c r="D226" s="340"/>
      <c r="F226" s="182"/>
      <c r="G226" s="169"/>
    </row>
    <row r="227" spans="6:7" ht="11.25">
      <c r="F227" s="182"/>
      <c r="G227" s="169"/>
    </row>
    <row r="228" spans="3:7" ht="11.25">
      <c r="C228" s="324"/>
      <c r="D228" s="341"/>
      <c r="F228" s="182"/>
      <c r="G228" s="169"/>
    </row>
    <row r="229" spans="1:2" ht="11.25">
      <c r="A229" s="342"/>
      <c r="B229" s="343"/>
    </row>
    <row r="230" ht="11.25">
      <c r="C230" s="324"/>
    </row>
    <row r="231" spans="2:7" ht="11.25">
      <c r="B231" s="20"/>
      <c r="C231" s="344"/>
      <c r="D231" s="20"/>
      <c r="E231" s="20"/>
      <c r="F231" s="20"/>
      <c r="G231" s="20"/>
    </row>
    <row r="257" ht="11.25">
      <c r="G257" s="182"/>
    </row>
    <row r="258" ht="11.25">
      <c r="G258" s="182"/>
    </row>
    <row r="259" ht="11.25">
      <c r="G259" s="182"/>
    </row>
    <row r="260" ht="11.25">
      <c r="G260" s="182"/>
    </row>
    <row r="261" ht="11.25">
      <c r="G261" s="182"/>
    </row>
    <row r="262" ht="11.25">
      <c r="G262" s="182"/>
    </row>
    <row r="263" ht="11.25">
      <c r="G263" s="182"/>
    </row>
    <row r="264" ht="11.25">
      <c r="G264" s="182"/>
    </row>
    <row r="265" ht="11.25">
      <c r="G265" s="182"/>
    </row>
    <row r="266" ht="11.25">
      <c r="G266" s="182"/>
    </row>
    <row r="267" ht="11.25">
      <c r="G267" s="182"/>
    </row>
    <row r="268" ht="11.25">
      <c r="G268" s="182"/>
    </row>
    <row r="269" ht="11.25">
      <c r="G269" s="182"/>
    </row>
    <row r="270" ht="11.25">
      <c r="G270" s="182"/>
    </row>
    <row r="271" ht="11.25">
      <c r="G271" s="182"/>
    </row>
    <row r="272" ht="11.25">
      <c r="G272" s="182"/>
    </row>
    <row r="273" ht="11.25">
      <c r="G273" s="182"/>
    </row>
    <row r="274" ht="11.25">
      <c r="G274" s="182"/>
    </row>
    <row r="275" ht="11.25">
      <c r="G275" s="182"/>
    </row>
    <row r="276" ht="11.25">
      <c r="G276" s="182"/>
    </row>
    <row r="277" ht="11.25">
      <c r="G277" s="182"/>
    </row>
    <row r="278" ht="11.25">
      <c r="G278" s="182"/>
    </row>
    <row r="279" ht="11.25">
      <c r="G279" s="182"/>
    </row>
    <row r="280" ht="11.25">
      <c r="G280" s="182"/>
    </row>
    <row r="281" ht="11.25">
      <c r="G281" s="182"/>
    </row>
    <row r="282" ht="11.25">
      <c r="G282" s="182"/>
    </row>
    <row r="283" ht="11.25">
      <c r="G283" s="182"/>
    </row>
    <row r="284" ht="11.25">
      <c r="G284" s="182"/>
    </row>
    <row r="285" ht="11.25">
      <c r="G285" s="182"/>
    </row>
    <row r="286" ht="11.25">
      <c r="G286" s="182"/>
    </row>
    <row r="287" ht="11.25">
      <c r="G287" s="182"/>
    </row>
    <row r="288" ht="11.25">
      <c r="G288" s="182"/>
    </row>
    <row r="289" ht="11.25">
      <c r="G289" s="182"/>
    </row>
    <row r="290" ht="11.25">
      <c r="G290" s="182"/>
    </row>
    <row r="291" ht="11.25">
      <c r="G291" s="182"/>
    </row>
    <row r="292" ht="11.25">
      <c r="G292" s="182"/>
    </row>
    <row r="293" ht="11.25">
      <c r="G293" s="182"/>
    </row>
    <row r="294" ht="11.25">
      <c r="G294" s="182"/>
    </row>
    <row r="295" ht="11.25">
      <c r="G295" s="182"/>
    </row>
    <row r="296" ht="11.25">
      <c r="G296" s="182"/>
    </row>
    <row r="297" ht="11.25">
      <c r="G297" s="182"/>
    </row>
    <row r="298" ht="11.25">
      <c r="G298" s="182"/>
    </row>
    <row r="299" ht="11.25">
      <c r="G299" s="182"/>
    </row>
    <row r="300" ht="11.25">
      <c r="G300" s="182"/>
    </row>
    <row r="301" ht="11.25">
      <c r="G301" s="182"/>
    </row>
    <row r="302" ht="11.25">
      <c r="G302" s="182"/>
    </row>
    <row r="303" ht="11.25">
      <c r="G303" s="182"/>
    </row>
    <row r="304" ht="11.25">
      <c r="G304" s="182"/>
    </row>
    <row r="305" ht="11.25">
      <c r="G305" s="182"/>
    </row>
    <row r="306" ht="11.25">
      <c r="G306" s="182"/>
    </row>
    <row r="307" ht="11.25">
      <c r="G307" s="182"/>
    </row>
    <row r="308" ht="11.25">
      <c r="G308" s="182"/>
    </row>
    <row r="309" ht="11.25">
      <c r="G309" s="182"/>
    </row>
    <row r="310" ht="11.25">
      <c r="G310" s="182"/>
    </row>
    <row r="311" ht="11.25">
      <c r="G311" s="182"/>
    </row>
    <row r="312" ht="11.25">
      <c r="G312" s="182"/>
    </row>
    <row r="313" ht="11.25">
      <c r="G313" s="182"/>
    </row>
    <row r="314" ht="11.25">
      <c r="G314" s="182"/>
    </row>
    <row r="315" ht="11.25">
      <c r="G315" s="182"/>
    </row>
    <row r="316" ht="11.25">
      <c r="G316" s="182"/>
    </row>
    <row r="317" ht="11.25">
      <c r="G317" s="182"/>
    </row>
    <row r="318" ht="11.25">
      <c r="G318" s="182"/>
    </row>
    <row r="319" ht="11.25">
      <c r="G319" s="182"/>
    </row>
    <row r="320" ht="11.25">
      <c r="G320" s="182"/>
    </row>
    <row r="321" ht="11.25">
      <c r="G321" s="182"/>
    </row>
    <row r="322" ht="11.25">
      <c r="G322" s="182"/>
    </row>
    <row r="323" ht="11.25">
      <c r="G323" s="182"/>
    </row>
    <row r="324" ht="11.25">
      <c r="G324" s="182"/>
    </row>
    <row r="325" ht="11.25">
      <c r="G325" s="182"/>
    </row>
    <row r="326" ht="11.25">
      <c r="G326" s="182"/>
    </row>
    <row r="327" ht="11.25">
      <c r="G327" s="182"/>
    </row>
    <row r="328" ht="11.25">
      <c r="G328" s="182"/>
    </row>
    <row r="329" ht="11.25">
      <c r="G329" s="182"/>
    </row>
    <row r="330" ht="11.25">
      <c r="G330" s="182"/>
    </row>
    <row r="331" ht="11.25">
      <c r="G331" s="182"/>
    </row>
    <row r="332" ht="11.25">
      <c r="G332" s="182"/>
    </row>
    <row r="333" ht="11.25">
      <c r="G333" s="182"/>
    </row>
    <row r="334" ht="11.25">
      <c r="G334" s="182"/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  <row r="349" ht="11.25">
      <c r="G349" s="182"/>
    </row>
    <row r="350" ht="11.25">
      <c r="G350" s="182"/>
    </row>
    <row r="351" ht="11.25">
      <c r="G351" s="182"/>
    </row>
    <row r="352" ht="11.25">
      <c r="G352" s="182"/>
    </row>
    <row r="353" ht="11.25">
      <c r="G353" s="182"/>
    </row>
    <row r="354" ht="11.25">
      <c r="G354" s="182"/>
    </row>
    <row r="355" ht="11.25">
      <c r="G355" s="182"/>
    </row>
    <row r="356" ht="11.25">
      <c r="G356" s="182"/>
    </row>
    <row r="357" ht="11.25">
      <c r="G357" s="182"/>
    </row>
    <row r="358" ht="11.25">
      <c r="G358" s="182"/>
    </row>
    <row r="359" ht="11.25">
      <c r="G359" s="182"/>
    </row>
    <row r="360" ht="11.25">
      <c r="G360" s="182"/>
    </row>
    <row r="361" ht="11.25">
      <c r="G361" s="182"/>
    </row>
    <row r="362" ht="11.25">
      <c r="G362" s="182"/>
    </row>
    <row r="363" ht="11.25">
      <c r="G363" s="182"/>
    </row>
    <row r="364" ht="11.25">
      <c r="G364" s="182"/>
    </row>
    <row r="365" ht="11.25">
      <c r="G365" s="182"/>
    </row>
    <row r="366" ht="11.25">
      <c r="G366" s="182"/>
    </row>
    <row r="367" ht="11.25">
      <c r="G367" s="182"/>
    </row>
    <row r="368" ht="11.25">
      <c r="G368" s="182"/>
    </row>
    <row r="369" ht="11.25">
      <c r="G369" s="182"/>
    </row>
    <row r="370" ht="11.25">
      <c r="G370" s="182"/>
    </row>
    <row r="371" ht="11.25">
      <c r="G371" s="182"/>
    </row>
  </sheetData>
  <sheetProtection/>
  <hyperlinks>
    <hyperlink ref="B6" r:id="rId1" display="www.ivanj.net"/>
    <hyperlink ref="B63" r:id="rId2" display="www.ivanj.net"/>
  </hyperlinks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M56"/>
  <sheetViews>
    <sheetView zoomScalePageLayoutView="0" workbookViewId="0" topLeftCell="A1">
      <selection activeCell="M1" sqref="M1:M16384"/>
    </sheetView>
  </sheetViews>
  <sheetFormatPr defaultColWidth="9.140625" defaultRowHeight="12.75"/>
  <cols>
    <col min="1" max="1" width="7.28125" style="34" customWidth="1"/>
    <col min="2" max="2" width="33.8515625" style="34" customWidth="1"/>
    <col min="3" max="3" width="15.421875" style="34" customWidth="1"/>
    <col min="4" max="4" width="7.8515625" style="34" customWidth="1"/>
    <col min="5" max="5" width="15.7109375" style="34" customWidth="1"/>
    <col min="6" max="6" width="7.8515625" style="34" bestFit="1" customWidth="1"/>
    <col min="7" max="7" width="8.7109375" style="34" customWidth="1"/>
    <col min="8" max="16384" width="9.140625" style="34" customWidth="1"/>
  </cols>
  <sheetData>
    <row r="1" spans="2:7" ht="13.5">
      <c r="B1" s="35" t="s">
        <v>166</v>
      </c>
      <c r="E1" s="36" t="s">
        <v>167</v>
      </c>
      <c r="F1" s="45"/>
      <c r="G1" s="50" t="s">
        <v>145</v>
      </c>
    </row>
    <row r="2" spans="2:6" ht="13.5">
      <c r="B2" s="37" t="s">
        <v>33</v>
      </c>
      <c r="C2" s="34" t="s">
        <v>168</v>
      </c>
      <c r="F2" s="108"/>
    </row>
    <row r="3" spans="2:6" ht="13.5">
      <c r="B3" s="37" t="s">
        <v>34</v>
      </c>
      <c r="C3" s="34" t="s">
        <v>219</v>
      </c>
      <c r="F3" s="108"/>
    </row>
    <row r="4" spans="2:6" ht="18">
      <c r="B4" s="38" t="s">
        <v>35</v>
      </c>
      <c r="C4" s="34" t="s">
        <v>220</v>
      </c>
      <c r="F4" s="41"/>
    </row>
    <row r="5" spans="1:6" ht="13.5">
      <c r="A5" s="124"/>
      <c r="C5" s="34" t="s">
        <v>378</v>
      </c>
      <c r="F5" s="41"/>
    </row>
    <row r="6" spans="3:7" ht="13.5">
      <c r="C6" s="122"/>
      <c r="D6" s="122"/>
      <c r="G6" s="41"/>
    </row>
    <row r="7" ht="16.5">
      <c r="B7" s="39" t="s">
        <v>381</v>
      </c>
    </row>
    <row r="9" ht="16.5">
      <c r="B9" s="62" t="s">
        <v>49</v>
      </c>
    </row>
    <row r="12" ht="13.5">
      <c r="B12" s="431" t="s">
        <v>317</v>
      </c>
    </row>
    <row r="15" spans="1:6" ht="13.5">
      <c r="A15" s="191" t="s">
        <v>66</v>
      </c>
      <c r="B15" s="190" t="s">
        <v>101</v>
      </c>
      <c r="E15" s="176">
        <f>+E31</f>
        <v>1318000</v>
      </c>
      <c r="F15" s="159" t="s">
        <v>82</v>
      </c>
    </row>
    <row r="17" spans="1:7" s="79" customFormat="1" ht="12" thickBot="1">
      <c r="A17" s="122">
        <v>1</v>
      </c>
      <c r="B17" s="122">
        <v>2</v>
      </c>
      <c r="C17" s="122">
        <v>3</v>
      </c>
      <c r="D17" s="122">
        <v>4</v>
      </c>
      <c r="E17" s="122">
        <v>5</v>
      </c>
      <c r="F17" s="122">
        <v>6</v>
      </c>
      <c r="G17" s="122">
        <v>7</v>
      </c>
    </row>
    <row r="18" spans="1:7" s="79" customFormat="1" ht="13.5">
      <c r="A18" s="393"/>
      <c r="B18" s="394"/>
      <c r="C18" s="282">
        <v>2016</v>
      </c>
      <c r="D18" s="478" t="s">
        <v>28</v>
      </c>
      <c r="E18" s="570">
        <v>2017</v>
      </c>
      <c r="F18" s="479" t="s">
        <v>28</v>
      </c>
      <c r="G18" s="394" t="s">
        <v>13</v>
      </c>
    </row>
    <row r="19" spans="1:7" s="79" customFormat="1" ht="14.25" thickBot="1">
      <c r="A19" s="392"/>
      <c r="B19" s="395"/>
      <c r="C19" s="131" t="s">
        <v>16</v>
      </c>
      <c r="D19" s="480" t="s">
        <v>15</v>
      </c>
      <c r="E19" s="131" t="s">
        <v>16</v>
      </c>
      <c r="F19" s="481" t="s">
        <v>15</v>
      </c>
      <c r="G19" s="395" t="s">
        <v>40</v>
      </c>
    </row>
    <row r="20" spans="1:7" s="79" customFormat="1" ht="14.25" thickBot="1">
      <c r="A20" s="410"/>
      <c r="B20" s="406"/>
      <c r="C20" s="60"/>
      <c r="D20" s="150"/>
      <c r="E20" s="60"/>
      <c r="F20" s="150"/>
      <c r="G20" s="60"/>
    </row>
    <row r="21" spans="1:7" ht="13.5">
      <c r="A21" s="411" t="s">
        <v>0</v>
      </c>
      <c r="B21" s="407" t="s">
        <v>326</v>
      </c>
      <c r="C21" s="580">
        <v>130000</v>
      </c>
      <c r="D21" s="473">
        <f>+C21/C$31*100</f>
        <v>10.673234811165845</v>
      </c>
      <c r="E21" s="580">
        <v>130000</v>
      </c>
      <c r="F21" s="469">
        <f>+E21/E$31*100</f>
        <v>9.863429438543248</v>
      </c>
      <c r="G21" s="114">
        <f>+E21/C21*100</f>
        <v>100</v>
      </c>
    </row>
    <row r="22" spans="1:7" ht="14.25" thickBot="1">
      <c r="A22" s="213" t="s">
        <v>1</v>
      </c>
      <c r="B22" s="408" t="s">
        <v>327</v>
      </c>
      <c r="C22" s="118">
        <v>0</v>
      </c>
      <c r="D22" s="475">
        <f aca="true" t="shared" si="0" ref="D22:D28">+C22/C$31*100</f>
        <v>0</v>
      </c>
      <c r="E22" s="118">
        <v>0</v>
      </c>
      <c r="F22" s="470">
        <f aca="true" t="shared" si="1" ref="F22:F28">+E22/E$31*100</f>
        <v>0</v>
      </c>
      <c r="G22" s="115" t="e">
        <f aca="true" t="shared" si="2" ref="G22:G28">+E22/C22*100</f>
        <v>#DIV/0!</v>
      </c>
    </row>
    <row r="23" spans="1:13" ht="13.5">
      <c r="A23" s="213" t="s">
        <v>2</v>
      </c>
      <c r="B23" s="408" t="s">
        <v>328</v>
      </c>
      <c r="C23" s="118">
        <f>330000/1.25</f>
        <v>264000</v>
      </c>
      <c r="D23" s="475">
        <f t="shared" si="0"/>
        <v>21.67487684729064</v>
      </c>
      <c r="E23" s="118">
        <f>330000/1.25</f>
        <v>264000</v>
      </c>
      <c r="F23" s="470">
        <f t="shared" si="1"/>
        <v>20.030349013657055</v>
      </c>
      <c r="G23" s="115">
        <f t="shared" si="2"/>
        <v>100</v>
      </c>
      <c r="M23" s="580"/>
    </row>
    <row r="24" spans="1:13" ht="13.5">
      <c r="A24" s="213" t="s">
        <v>3</v>
      </c>
      <c r="B24" s="408" t="s">
        <v>329</v>
      </c>
      <c r="C24" s="118">
        <f>220000/1.25</f>
        <v>176000</v>
      </c>
      <c r="D24" s="475">
        <f t="shared" si="0"/>
        <v>14.449917898193759</v>
      </c>
      <c r="E24" s="118">
        <f>220000/1.25</f>
        <v>176000</v>
      </c>
      <c r="F24" s="470">
        <f t="shared" si="1"/>
        <v>13.353566009104703</v>
      </c>
      <c r="G24" s="115">
        <f t="shared" si="2"/>
        <v>100</v>
      </c>
      <c r="M24" s="118"/>
    </row>
    <row r="25" spans="1:13" ht="13.5">
      <c r="A25" s="213" t="s">
        <v>4</v>
      </c>
      <c r="B25" s="201" t="s">
        <v>330</v>
      </c>
      <c r="C25" s="118">
        <f>160000/1.25</f>
        <v>128000</v>
      </c>
      <c r="D25" s="475">
        <f t="shared" si="0"/>
        <v>10.50903119868637</v>
      </c>
      <c r="E25" s="118">
        <f>160000/1.25</f>
        <v>128000</v>
      </c>
      <c r="F25" s="470">
        <f t="shared" si="1"/>
        <v>9.711684370257966</v>
      </c>
      <c r="G25" s="115">
        <f t="shared" si="2"/>
        <v>100</v>
      </c>
      <c r="M25" s="118"/>
    </row>
    <row r="26" spans="1:13" ht="13.5">
      <c r="A26" s="411" t="s">
        <v>5</v>
      </c>
      <c r="B26" s="407" t="s">
        <v>331</v>
      </c>
      <c r="C26" s="118">
        <v>300000</v>
      </c>
      <c r="D26" s="475">
        <f t="shared" si="0"/>
        <v>24.63054187192118</v>
      </c>
      <c r="E26" s="118">
        <v>300000</v>
      </c>
      <c r="F26" s="470">
        <f t="shared" si="1"/>
        <v>22.76176024279211</v>
      </c>
      <c r="G26" s="115">
        <f t="shared" si="2"/>
        <v>100</v>
      </c>
      <c r="M26" s="118"/>
    </row>
    <row r="27" spans="1:13" ht="13.5">
      <c r="A27" s="213" t="s">
        <v>6</v>
      </c>
      <c r="B27" s="407" t="s">
        <v>332</v>
      </c>
      <c r="C27" s="118">
        <f>150000/1.25</f>
        <v>120000</v>
      </c>
      <c r="D27" s="475">
        <f t="shared" si="0"/>
        <v>9.852216748768473</v>
      </c>
      <c r="E27" s="118">
        <f>150000/1.25</f>
        <v>120000</v>
      </c>
      <c r="F27" s="470">
        <f t="shared" si="1"/>
        <v>9.104704097116842</v>
      </c>
      <c r="G27" s="115">
        <f t="shared" si="2"/>
        <v>100</v>
      </c>
      <c r="M27" s="118"/>
    </row>
    <row r="28" spans="1:13" ht="13.5">
      <c r="A28" s="411" t="s">
        <v>8</v>
      </c>
      <c r="B28" s="407" t="s">
        <v>334</v>
      </c>
      <c r="C28" s="118">
        <v>100000</v>
      </c>
      <c r="D28" s="475">
        <f t="shared" si="0"/>
        <v>8.210180623973727</v>
      </c>
      <c r="E28" s="118">
        <v>100000</v>
      </c>
      <c r="F28" s="470">
        <f t="shared" si="1"/>
        <v>7.587253414264036</v>
      </c>
      <c r="G28" s="115">
        <f t="shared" si="2"/>
        <v>100</v>
      </c>
      <c r="M28" s="118"/>
    </row>
    <row r="29" spans="1:13" ht="13.5">
      <c r="A29" s="213" t="s">
        <v>10</v>
      </c>
      <c r="B29" s="408" t="s">
        <v>384</v>
      </c>
      <c r="C29" s="579"/>
      <c r="D29" s="474"/>
      <c r="E29" s="118">
        <v>100000</v>
      </c>
      <c r="F29" s="470">
        <f>+E29/E$31*100</f>
        <v>7.587253414264036</v>
      </c>
      <c r="G29" s="115" t="e">
        <f>+E29/C29*100</f>
        <v>#DIV/0!</v>
      </c>
      <c r="M29" s="118"/>
    </row>
    <row r="30" spans="1:13" ht="14.25" thickBot="1">
      <c r="A30" s="411"/>
      <c r="B30" s="407"/>
      <c r="C30" s="579"/>
      <c r="D30" s="476"/>
      <c r="E30" s="581"/>
      <c r="F30" s="471"/>
      <c r="G30" s="141"/>
      <c r="M30" s="118"/>
    </row>
    <row r="31" spans="1:7" ht="14.25" thickBot="1">
      <c r="A31" s="402"/>
      <c r="B31" s="409" t="s">
        <v>333</v>
      </c>
      <c r="C31" s="112">
        <f>SUM(C21:C29)</f>
        <v>1218000</v>
      </c>
      <c r="D31" s="112">
        <f>SUM(D21:D29)</f>
        <v>100</v>
      </c>
      <c r="E31" s="467">
        <f>SUM(E21:E29)</f>
        <v>1318000</v>
      </c>
      <c r="F31" s="468">
        <f>SUM(F21:F29)</f>
        <v>100</v>
      </c>
      <c r="G31" s="141"/>
    </row>
    <row r="32" spans="3:7" ht="13.5">
      <c r="C32" s="41"/>
      <c r="D32" s="41"/>
      <c r="E32" s="41"/>
      <c r="F32" s="41"/>
      <c r="G32" s="99"/>
    </row>
    <row r="33" ht="13.5">
      <c r="G33" s="118"/>
    </row>
    <row r="35" ht="14.25" thickBot="1"/>
    <row r="36" spans="1:6" ht="14.25" thickBot="1">
      <c r="A36" s="178" t="s">
        <v>67</v>
      </c>
      <c r="B36" s="179" t="s">
        <v>68</v>
      </c>
      <c r="C36" s="280"/>
      <c r="D36" s="281"/>
      <c r="E36" s="113">
        <f>'PJ PARKING RASHOD'!E178</f>
        <v>689800</v>
      </c>
      <c r="F36" s="185" t="s">
        <v>82</v>
      </c>
    </row>
    <row r="38" spans="1:6" ht="13.5">
      <c r="A38" s="289"/>
      <c r="B38" s="203" t="s">
        <v>154</v>
      </c>
      <c r="C38" s="41"/>
      <c r="D38" s="345" t="s">
        <v>191</v>
      </c>
      <c r="E38" s="290">
        <f>+E31-E36</f>
        <v>628200</v>
      </c>
      <c r="F38" s="291" t="s">
        <v>82</v>
      </c>
    </row>
    <row r="56" ht="13.5">
      <c r="C56" s="122" t="s">
        <v>92</v>
      </c>
    </row>
  </sheetData>
  <sheetProtection/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71"/>
  <sheetViews>
    <sheetView zoomScalePageLayoutView="0" workbookViewId="0" topLeftCell="A101">
      <selection activeCell="A121" sqref="A121:B121"/>
    </sheetView>
  </sheetViews>
  <sheetFormatPr defaultColWidth="8.8515625" defaultRowHeight="12.75"/>
  <cols>
    <col min="1" max="1" width="7.7109375" style="161" customWidth="1"/>
    <col min="2" max="2" width="36.28125" style="161" customWidth="1"/>
    <col min="3" max="3" width="14.57421875" style="161" customWidth="1"/>
    <col min="4" max="4" width="7.00390625" style="161" bestFit="1" customWidth="1"/>
    <col min="5" max="5" width="13.00390625" style="161" bestFit="1" customWidth="1"/>
    <col min="6" max="6" width="7.00390625" style="161" bestFit="1" customWidth="1"/>
    <col min="7" max="7" width="8.7109375" style="161" customWidth="1"/>
    <col min="8" max="16384" width="8.8515625" style="161" customWidth="1"/>
  </cols>
  <sheetData>
    <row r="1" spans="1:7" ht="13.5">
      <c r="A1" s="34"/>
      <c r="B1" s="35" t="s">
        <v>166</v>
      </c>
      <c r="C1" s="34"/>
      <c r="D1" s="34"/>
      <c r="E1" s="34"/>
      <c r="F1"/>
      <c r="G1" s="304" t="s">
        <v>351</v>
      </c>
    </row>
    <row r="2" spans="1:6" ht="13.5">
      <c r="A2" s="34"/>
      <c r="B2" s="37" t="s">
        <v>33</v>
      </c>
      <c r="C2" s="34" t="s">
        <v>218</v>
      </c>
      <c r="D2" s="34"/>
      <c r="E2" s="34"/>
      <c r="F2" s="45"/>
    </row>
    <row r="3" spans="1:6" ht="13.5">
      <c r="A3" s="162"/>
      <c r="B3" s="37" t="s">
        <v>34</v>
      </c>
      <c r="C3" s="34" t="s">
        <v>219</v>
      </c>
      <c r="D3" s="34"/>
      <c r="E3" s="34"/>
      <c r="F3" s="45"/>
    </row>
    <row r="4" spans="1:6" ht="18">
      <c r="A4" s="34"/>
      <c r="B4" s="38" t="s">
        <v>35</v>
      </c>
      <c r="C4" s="34" t="s">
        <v>220</v>
      </c>
      <c r="D4" s="34"/>
      <c r="E4" s="34"/>
      <c r="F4" s="51"/>
    </row>
    <row r="5" spans="1:6" ht="13.5">
      <c r="A5" s="34"/>
      <c r="B5" s="34"/>
      <c r="C5" s="34" t="s">
        <v>378</v>
      </c>
      <c r="D5" s="34"/>
      <c r="E5" s="34"/>
      <c r="F5" s="48"/>
    </row>
    <row r="6" spans="1:7" ht="12.75">
      <c r="A6" s="149"/>
      <c r="B6" s="124" t="s">
        <v>79</v>
      </c>
      <c r="C6" s="45"/>
      <c r="D6" s="45"/>
      <c r="E6" s="45"/>
      <c r="F6" s="48"/>
      <c r="G6" s="306"/>
    </row>
    <row r="7" spans="1:7" ht="12.75">
      <c r="A7" s="303"/>
      <c r="B7" s="307" t="s">
        <v>374</v>
      </c>
      <c r="C7" s="79"/>
      <c r="D7" s="79"/>
      <c r="E7" s="79"/>
      <c r="F7" s="306"/>
      <c r="G7" s="306"/>
    </row>
    <row r="8" spans="2:6" ht="12.75">
      <c r="B8" s="79"/>
      <c r="C8" s="79"/>
      <c r="D8" s="79"/>
      <c r="E8" s="79"/>
      <c r="F8" s="303"/>
    </row>
    <row r="9" spans="1:6" ht="12.75">
      <c r="A9" s="303"/>
      <c r="B9" s="302" t="s">
        <v>151</v>
      </c>
      <c r="C9" s="79"/>
      <c r="D9" s="79"/>
      <c r="E9" s="79"/>
      <c r="F9" s="303"/>
    </row>
    <row r="10" spans="1:6" ht="12.75">
      <c r="A10" s="303"/>
      <c r="B10" s="79"/>
      <c r="C10" s="79"/>
      <c r="D10" s="79"/>
      <c r="E10" s="79"/>
      <c r="F10" s="303"/>
    </row>
    <row r="11" spans="2:5" ht="11.25">
      <c r="B11" s="431" t="s">
        <v>317</v>
      </c>
      <c r="C11" s="79"/>
      <c r="D11" s="79"/>
      <c r="E11" s="79"/>
    </row>
    <row r="12" spans="1:7" ht="12" thickBot="1">
      <c r="A12" s="122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</row>
    <row r="13" spans="1:7" ht="13.5">
      <c r="A13" s="302"/>
      <c r="B13" s="309" t="s">
        <v>7</v>
      </c>
      <c r="C13" s="310" t="s">
        <v>365</v>
      </c>
      <c r="D13" s="494" t="s">
        <v>28</v>
      </c>
      <c r="E13" s="310" t="s">
        <v>380</v>
      </c>
      <c r="F13" s="494" t="s">
        <v>28</v>
      </c>
      <c r="G13" s="495" t="s">
        <v>13</v>
      </c>
    </row>
    <row r="14" spans="3:7" ht="12" thickBot="1">
      <c r="C14" s="204" t="s">
        <v>16</v>
      </c>
      <c r="D14" s="496" t="s">
        <v>15</v>
      </c>
      <c r="E14" s="204" t="s">
        <v>16</v>
      </c>
      <c r="F14" s="496" t="s">
        <v>15</v>
      </c>
      <c r="G14" s="497" t="s">
        <v>40</v>
      </c>
    </row>
    <row r="15" spans="1:7" ht="12" thickBot="1">
      <c r="A15" s="79"/>
      <c r="B15" s="79"/>
      <c r="C15" s="175"/>
      <c r="D15" s="79"/>
      <c r="E15" s="175"/>
      <c r="F15" s="79"/>
      <c r="G15" s="148"/>
    </row>
    <row r="16" spans="1:7" ht="11.25">
      <c r="A16" s="79" t="s">
        <v>222</v>
      </c>
      <c r="B16" s="79"/>
      <c r="C16" s="413"/>
      <c r="D16" s="360">
        <f>$C16/$C$178*100</f>
        <v>0</v>
      </c>
      <c r="E16" s="529"/>
      <c r="F16" s="360">
        <f>$E16/$E$178*100</f>
        <v>0</v>
      </c>
      <c r="G16" s="386" t="e">
        <f>E16/C16*100</f>
        <v>#DIV/0!</v>
      </c>
    </row>
    <row r="17" spans="1:7" ht="11.25">
      <c r="A17" s="79" t="s">
        <v>388</v>
      </c>
      <c r="B17" s="79"/>
      <c r="C17" s="582"/>
      <c r="D17" s="361"/>
      <c r="E17" s="416"/>
      <c r="F17" s="361"/>
      <c r="G17" s="387"/>
    </row>
    <row r="18" spans="1:8" ht="13.5">
      <c r="A18" s="79" t="s">
        <v>223</v>
      </c>
      <c r="B18" s="79"/>
      <c r="C18" s="319">
        <v>12000</v>
      </c>
      <c r="D18" s="361">
        <f aca="true" t="shared" si="0" ref="D18:D37">$C18/$C$178*100</f>
        <v>1.7523364485981308</v>
      </c>
      <c r="E18" s="329">
        <v>12000</v>
      </c>
      <c r="F18" s="361">
        <f aca="true" t="shared" si="1" ref="F18:F37">$E18/$E$178*100</f>
        <v>1.7396346767178894</v>
      </c>
      <c r="G18" s="387">
        <f>E18/C18*100</f>
        <v>100</v>
      </c>
      <c r="H18" s="60"/>
    </row>
    <row r="19" spans="1:8" ht="13.5">
      <c r="A19" s="79" t="s">
        <v>224</v>
      </c>
      <c r="B19" s="79"/>
      <c r="C19" s="319"/>
      <c r="D19" s="361">
        <f t="shared" si="0"/>
        <v>0</v>
      </c>
      <c r="E19" s="329"/>
      <c r="F19" s="361">
        <f t="shared" si="1"/>
        <v>0</v>
      </c>
      <c r="G19" s="387" t="e">
        <f aca="true" t="shared" si="2" ref="G19:G37">E19/C19*100</f>
        <v>#DIV/0!</v>
      </c>
      <c r="H19" s="60"/>
    </row>
    <row r="20" spans="1:8" ht="13.5">
      <c r="A20" s="79" t="s">
        <v>240</v>
      </c>
      <c r="B20" s="79"/>
      <c r="C20" s="319"/>
      <c r="D20" s="361">
        <f t="shared" si="0"/>
        <v>0</v>
      </c>
      <c r="E20" s="329"/>
      <c r="F20" s="361">
        <f t="shared" si="1"/>
        <v>0</v>
      </c>
      <c r="G20" s="387" t="e">
        <f t="shared" si="2"/>
        <v>#DIV/0!</v>
      </c>
      <c r="H20" s="60"/>
    </row>
    <row r="21" spans="1:8" ht="13.5">
      <c r="A21" s="79" t="s">
        <v>225</v>
      </c>
      <c r="B21" s="79"/>
      <c r="C21" s="319"/>
      <c r="D21" s="361">
        <f t="shared" si="0"/>
        <v>0</v>
      </c>
      <c r="E21" s="329"/>
      <c r="F21" s="361">
        <f t="shared" si="1"/>
        <v>0</v>
      </c>
      <c r="G21" s="387" t="e">
        <f t="shared" si="2"/>
        <v>#DIV/0!</v>
      </c>
      <c r="H21" s="60"/>
    </row>
    <row r="22" spans="1:8" ht="13.5">
      <c r="A22" s="79" t="s">
        <v>226</v>
      </c>
      <c r="B22" s="79"/>
      <c r="C22" s="319">
        <v>1000</v>
      </c>
      <c r="D22" s="361">
        <f t="shared" si="0"/>
        <v>0.14602803738317757</v>
      </c>
      <c r="E22" s="329">
        <v>1000</v>
      </c>
      <c r="F22" s="361">
        <f t="shared" si="1"/>
        <v>0.14496955639315745</v>
      </c>
      <c r="G22" s="387">
        <f t="shared" si="2"/>
        <v>100</v>
      </c>
      <c r="H22" s="60"/>
    </row>
    <row r="23" spans="1:8" ht="13.5">
      <c r="A23" s="79" t="s">
        <v>227</v>
      </c>
      <c r="B23" s="79"/>
      <c r="C23" s="319"/>
      <c r="D23" s="361">
        <f t="shared" si="0"/>
        <v>0</v>
      </c>
      <c r="E23" s="329"/>
      <c r="F23" s="361">
        <f t="shared" si="1"/>
        <v>0</v>
      </c>
      <c r="G23" s="387" t="e">
        <f t="shared" si="2"/>
        <v>#DIV/0!</v>
      </c>
      <c r="H23" s="60"/>
    </row>
    <row r="24" spans="1:8" ht="13.5">
      <c r="A24" s="79" t="s">
        <v>228</v>
      </c>
      <c r="B24" s="79"/>
      <c r="C24" s="319"/>
      <c r="D24" s="361">
        <f t="shared" si="0"/>
        <v>0</v>
      </c>
      <c r="E24" s="329"/>
      <c r="F24" s="361">
        <f t="shared" si="1"/>
        <v>0</v>
      </c>
      <c r="G24" s="387" t="e">
        <f t="shared" si="2"/>
        <v>#DIV/0!</v>
      </c>
      <c r="H24" s="60"/>
    </row>
    <row r="25" spans="1:8" ht="13.5">
      <c r="A25" s="79" t="s">
        <v>229</v>
      </c>
      <c r="B25" s="79"/>
      <c r="C25" s="319"/>
      <c r="D25" s="361">
        <f t="shared" si="0"/>
        <v>0</v>
      </c>
      <c r="E25" s="329"/>
      <c r="F25" s="361">
        <f t="shared" si="1"/>
        <v>0</v>
      </c>
      <c r="G25" s="387" t="e">
        <f t="shared" si="2"/>
        <v>#DIV/0!</v>
      </c>
      <c r="H25" s="60"/>
    </row>
    <row r="26" spans="1:8" ht="13.5">
      <c r="A26" s="79" t="s">
        <v>230</v>
      </c>
      <c r="B26" s="79"/>
      <c r="C26" s="319">
        <v>15000</v>
      </c>
      <c r="D26" s="361">
        <f t="shared" si="0"/>
        <v>2.1904205607476634</v>
      </c>
      <c r="E26" s="329">
        <v>15000</v>
      </c>
      <c r="F26" s="361">
        <f t="shared" si="1"/>
        <v>2.1745433458973613</v>
      </c>
      <c r="G26" s="387">
        <f t="shared" si="2"/>
        <v>100</v>
      </c>
      <c r="H26" s="60"/>
    </row>
    <row r="27" spans="1:8" ht="13.5">
      <c r="A27" s="79" t="s">
        <v>231</v>
      </c>
      <c r="B27" s="79"/>
      <c r="C27" s="319">
        <v>0</v>
      </c>
      <c r="D27" s="361">
        <f t="shared" si="0"/>
        <v>0</v>
      </c>
      <c r="E27" s="329">
        <v>0</v>
      </c>
      <c r="F27" s="361">
        <f t="shared" si="1"/>
        <v>0</v>
      </c>
      <c r="G27" s="387" t="e">
        <f t="shared" si="2"/>
        <v>#DIV/0!</v>
      </c>
      <c r="H27" s="60"/>
    </row>
    <row r="28" spans="1:8" ht="13.5">
      <c r="A28" s="79" t="s">
        <v>372</v>
      </c>
      <c r="B28" s="79"/>
      <c r="C28" s="319">
        <v>5000</v>
      </c>
      <c r="D28" s="361">
        <f t="shared" si="0"/>
        <v>0.7301401869158879</v>
      </c>
      <c r="E28" s="329">
        <v>5000</v>
      </c>
      <c r="F28" s="361">
        <f t="shared" si="1"/>
        <v>0.7248477819657871</v>
      </c>
      <c r="G28" s="387">
        <f t="shared" si="2"/>
        <v>100</v>
      </c>
      <c r="H28" s="60"/>
    </row>
    <row r="29" spans="1:8" ht="13.5">
      <c r="A29" s="79" t="s">
        <v>232</v>
      </c>
      <c r="B29" s="79"/>
      <c r="C29" s="319">
        <v>5000</v>
      </c>
      <c r="D29" s="361">
        <f t="shared" si="0"/>
        <v>0.7301401869158879</v>
      </c>
      <c r="E29" s="329">
        <v>5000</v>
      </c>
      <c r="F29" s="361">
        <f t="shared" si="1"/>
        <v>0.7248477819657871</v>
      </c>
      <c r="G29" s="387">
        <f t="shared" si="2"/>
        <v>100</v>
      </c>
      <c r="H29" s="60"/>
    </row>
    <row r="30" spans="1:8" ht="13.5">
      <c r="A30" s="79" t="s">
        <v>233</v>
      </c>
      <c r="B30" s="79"/>
      <c r="C30" s="314"/>
      <c r="D30" s="361">
        <f t="shared" si="0"/>
        <v>0</v>
      </c>
      <c r="E30" s="333"/>
      <c r="F30" s="361">
        <f t="shared" si="1"/>
        <v>0</v>
      </c>
      <c r="G30" s="387" t="e">
        <f t="shared" si="2"/>
        <v>#DIV/0!</v>
      </c>
      <c r="H30" s="60"/>
    </row>
    <row r="31" spans="1:8" ht="14.25" thickBot="1">
      <c r="A31" s="79" t="s">
        <v>234</v>
      </c>
      <c r="B31" s="79"/>
      <c r="C31" s="314"/>
      <c r="D31" s="361">
        <f t="shared" si="0"/>
        <v>0</v>
      </c>
      <c r="E31" s="333"/>
      <c r="F31" s="361">
        <f t="shared" si="1"/>
        <v>0</v>
      </c>
      <c r="G31" s="387" t="e">
        <f t="shared" si="2"/>
        <v>#DIV/0!</v>
      </c>
      <c r="H31" s="60"/>
    </row>
    <row r="32" spans="1:9" ht="14.25" thickBot="1">
      <c r="A32" s="79" t="s">
        <v>235</v>
      </c>
      <c r="B32" s="79"/>
      <c r="C32" s="314">
        <v>4000</v>
      </c>
      <c r="D32" s="361">
        <f t="shared" si="0"/>
        <v>0.5841121495327103</v>
      </c>
      <c r="E32" s="333">
        <v>4000</v>
      </c>
      <c r="F32" s="361">
        <f t="shared" si="1"/>
        <v>0.5798782255726298</v>
      </c>
      <c r="G32" s="387">
        <f t="shared" si="2"/>
        <v>100</v>
      </c>
      <c r="H32" s="60"/>
      <c r="I32" s="317"/>
    </row>
    <row r="33" spans="1:8" ht="13.5">
      <c r="A33" s="79" t="s">
        <v>236</v>
      </c>
      <c r="B33" s="79"/>
      <c r="C33" s="314">
        <v>4000</v>
      </c>
      <c r="D33" s="361">
        <f t="shared" si="0"/>
        <v>0.5841121495327103</v>
      </c>
      <c r="E33" s="333">
        <v>4000</v>
      </c>
      <c r="F33" s="361">
        <f t="shared" si="1"/>
        <v>0.5798782255726298</v>
      </c>
      <c r="G33" s="387">
        <f t="shared" si="2"/>
        <v>100</v>
      </c>
      <c r="H33" s="60"/>
    </row>
    <row r="34" spans="1:8" ht="13.5">
      <c r="A34" s="79" t="s">
        <v>237</v>
      </c>
      <c r="B34" s="79"/>
      <c r="C34" s="314">
        <v>0</v>
      </c>
      <c r="D34" s="361">
        <f t="shared" si="0"/>
        <v>0</v>
      </c>
      <c r="E34" s="333">
        <v>5000</v>
      </c>
      <c r="F34" s="361">
        <f t="shared" si="1"/>
        <v>0.7248477819657871</v>
      </c>
      <c r="G34" s="387" t="e">
        <f t="shared" si="2"/>
        <v>#DIV/0!</v>
      </c>
      <c r="H34" s="60"/>
    </row>
    <row r="35" spans="1:8" ht="13.5">
      <c r="A35" s="79" t="s">
        <v>238</v>
      </c>
      <c r="B35" s="79"/>
      <c r="C35" s="314"/>
      <c r="D35" s="361">
        <f t="shared" si="0"/>
        <v>0</v>
      </c>
      <c r="E35" s="333"/>
      <c r="F35" s="361">
        <f t="shared" si="1"/>
        <v>0</v>
      </c>
      <c r="G35" s="387" t="e">
        <f t="shared" si="2"/>
        <v>#DIV/0!</v>
      </c>
      <c r="H35" s="60"/>
    </row>
    <row r="36" spans="1:7" ht="12" thickBot="1">
      <c r="A36" s="79" t="s">
        <v>239</v>
      </c>
      <c r="B36" s="79"/>
      <c r="C36" s="315"/>
      <c r="D36" s="361">
        <f t="shared" si="0"/>
        <v>0</v>
      </c>
      <c r="E36" s="333"/>
      <c r="F36" s="361">
        <f t="shared" si="1"/>
        <v>0</v>
      </c>
      <c r="G36" s="387" t="e">
        <f t="shared" si="2"/>
        <v>#DIV/0!</v>
      </c>
    </row>
    <row r="37" spans="1:7" ht="12" thickBot="1">
      <c r="A37" s="302">
        <v>40</v>
      </c>
      <c r="B37" s="316" t="s">
        <v>12</v>
      </c>
      <c r="C37" s="500">
        <f>+SUM(C16:C36)</f>
        <v>46000</v>
      </c>
      <c r="D37" s="363">
        <f t="shared" si="0"/>
        <v>6.7172897196261685</v>
      </c>
      <c r="E37" s="438">
        <f>+SUM(E16:E36)</f>
        <v>51000</v>
      </c>
      <c r="F37" s="363">
        <f t="shared" si="1"/>
        <v>7.3934473760510295</v>
      </c>
      <c r="G37" s="389">
        <f t="shared" si="2"/>
        <v>110.86956521739131</v>
      </c>
    </row>
    <row r="38" spans="1:7" ht="12" thickBot="1">
      <c r="A38" s="302"/>
      <c r="B38" s="302"/>
      <c r="C38" s="318"/>
      <c r="D38" s="187"/>
      <c r="E38" s="318"/>
      <c r="F38" s="187"/>
      <c r="G38" s="313"/>
    </row>
    <row r="39" spans="1:8" ht="13.5">
      <c r="A39" s="79" t="s">
        <v>241</v>
      </c>
      <c r="B39" s="312"/>
      <c r="C39" s="320">
        <v>2000</v>
      </c>
      <c r="D39" s="434">
        <f aca="true" t="shared" si="3" ref="D39:D57">$C39/$C$178*100</f>
        <v>0.29205607476635514</v>
      </c>
      <c r="E39" s="320">
        <v>2000</v>
      </c>
      <c r="F39" s="434">
        <f aca="true" t="shared" si="4" ref="F39:F57">$E39/$E$178*100</f>
        <v>0.2899391127863149</v>
      </c>
      <c r="G39" s="386">
        <f aca="true" t="shared" si="5" ref="G39:G57">E39/C39*100</f>
        <v>100</v>
      </c>
      <c r="H39" s="60">
        <v>4101</v>
      </c>
    </row>
    <row r="40" spans="1:8" ht="13.5">
      <c r="A40" s="79" t="s">
        <v>242</v>
      </c>
      <c r="B40" s="312"/>
      <c r="C40" s="314">
        <v>20000</v>
      </c>
      <c r="D40" s="336">
        <f t="shared" si="3"/>
        <v>2.9205607476635516</v>
      </c>
      <c r="E40" s="314">
        <v>20000</v>
      </c>
      <c r="F40" s="336">
        <f t="shared" si="4"/>
        <v>2.8993911278631486</v>
      </c>
      <c r="G40" s="387">
        <f t="shared" si="5"/>
        <v>100</v>
      </c>
      <c r="H40" s="60">
        <v>4105</v>
      </c>
    </row>
    <row r="41" spans="1:8" ht="13.5">
      <c r="A41" s="79" t="s">
        <v>243</v>
      </c>
      <c r="B41" s="312"/>
      <c r="C41" s="314">
        <v>0</v>
      </c>
      <c r="D41" s="336">
        <f t="shared" si="3"/>
        <v>0</v>
      </c>
      <c r="E41" s="314">
        <v>0</v>
      </c>
      <c r="F41" s="336">
        <f t="shared" si="4"/>
        <v>0</v>
      </c>
      <c r="G41" s="387" t="e">
        <f t="shared" si="5"/>
        <v>#DIV/0!</v>
      </c>
      <c r="H41" s="60">
        <v>41051</v>
      </c>
    </row>
    <row r="42" spans="1:8" ht="13.5">
      <c r="A42" s="79" t="s">
        <v>244</v>
      </c>
      <c r="B42" s="312"/>
      <c r="C42" s="314">
        <v>15000</v>
      </c>
      <c r="D42" s="336">
        <f t="shared" si="3"/>
        <v>2.1904205607476634</v>
      </c>
      <c r="E42" s="314">
        <v>15000</v>
      </c>
      <c r="F42" s="336">
        <f t="shared" si="4"/>
        <v>2.1745433458973613</v>
      </c>
      <c r="G42" s="387">
        <f t="shared" si="5"/>
        <v>100</v>
      </c>
      <c r="H42" s="60">
        <v>4120</v>
      </c>
    </row>
    <row r="43" spans="1:8" ht="13.5">
      <c r="A43" s="79" t="s">
        <v>245</v>
      </c>
      <c r="B43" s="312"/>
      <c r="C43" s="314"/>
      <c r="D43" s="336">
        <f t="shared" si="3"/>
        <v>0</v>
      </c>
      <c r="E43" s="314"/>
      <c r="F43" s="336">
        <f t="shared" si="4"/>
        <v>0</v>
      </c>
      <c r="G43" s="387" t="e">
        <f t="shared" si="5"/>
        <v>#DIV/0!</v>
      </c>
      <c r="H43" s="60">
        <v>4121</v>
      </c>
    </row>
    <row r="44" spans="1:8" ht="13.5">
      <c r="A44" s="79" t="s">
        <v>246</v>
      </c>
      <c r="B44" s="312"/>
      <c r="C44" s="314"/>
      <c r="D44" s="336">
        <f t="shared" si="3"/>
        <v>0</v>
      </c>
      <c r="E44" s="314"/>
      <c r="F44" s="336">
        <f t="shared" si="4"/>
        <v>0</v>
      </c>
      <c r="G44" s="387" t="e">
        <f t="shared" si="5"/>
        <v>#DIV/0!</v>
      </c>
      <c r="H44" s="60">
        <v>4128</v>
      </c>
    </row>
    <row r="45" spans="1:8" ht="13.5">
      <c r="A45" s="79" t="s">
        <v>247</v>
      </c>
      <c r="B45" s="312"/>
      <c r="C45" s="314">
        <v>50000</v>
      </c>
      <c r="D45" s="336">
        <f t="shared" si="3"/>
        <v>7.3014018691588785</v>
      </c>
      <c r="E45" s="314">
        <v>50000</v>
      </c>
      <c r="F45" s="336">
        <f t="shared" si="4"/>
        <v>7.2484778196578725</v>
      </c>
      <c r="G45" s="387">
        <f t="shared" si="5"/>
        <v>100</v>
      </c>
      <c r="H45" s="60">
        <v>4137</v>
      </c>
    </row>
    <row r="46" spans="1:8" ht="13.5">
      <c r="A46" s="79" t="s">
        <v>248</v>
      </c>
      <c r="B46" s="312"/>
      <c r="C46" s="314"/>
      <c r="D46" s="336">
        <f t="shared" si="3"/>
        <v>0</v>
      </c>
      <c r="E46" s="314"/>
      <c r="F46" s="336">
        <f t="shared" si="4"/>
        <v>0</v>
      </c>
      <c r="G46" s="387" t="e">
        <f t="shared" si="5"/>
        <v>#DIV/0!</v>
      </c>
      <c r="H46" s="60">
        <v>4140</v>
      </c>
    </row>
    <row r="47" spans="1:8" ht="13.5">
      <c r="A47" s="79" t="s">
        <v>249</v>
      </c>
      <c r="B47" s="312"/>
      <c r="C47" s="314"/>
      <c r="D47" s="336">
        <f t="shared" si="3"/>
        <v>0</v>
      </c>
      <c r="E47" s="314"/>
      <c r="F47" s="336">
        <f t="shared" si="4"/>
        <v>0</v>
      </c>
      <c r="G47" s="387" t="e">
        <f t="shared" si="5"/>
        <v>#DIV/0!</v>
      </c>
      <c r="H47" s="60">
        <v>4150</v>
      </c>
    </row>
    <row r="48" spans="1:8" ht="13.5">
      <c r="A48" s="79" t="s">
        <v>250</v>
      </c>
      <c r="B48" s="312"/>
      <c r="C48" s="319">
        <v>0</v>
      </c>
      <c r="D48" s="336">
        <f t="shared" si="3"/>
        <v>0</v>
      </c>
      <c r="E48" s="319">
        <v>0</v>
      </c>
      <c r="F48" s="336">
        <f t="shared" si="4"/>
        <v>0</v>
      </c>
      <c r="G48" s="387" t="e">
        <f t="shared" si="5"/>
        <v>#DIV/0!</v>
      </c>
      <c r="H48" s="60"/>
    </row>
    <row r="49" spans="1:8" ht="13.5">
      <c r="A49" s="79" t="s">
        <v>251</v>
      </c>
      <c r="B49" s="312"/>
      <c r="C49" s="319"/>
      <c r="D49" s="336">
        <f t="shared" si="3"/>
        <v>0</v>
      </c>
      <c r="E49" s="319"/>
      <c r="F49" s="336">
        <f t="shared" si="4"/>
        <v>0</v>
      </c>
      <c r="G49" s="387" t="e">
        <f t="shared" si="5"/>
        <v>#DIV/0!</v>
      </c>
      <c r="H49" s="412">
        <v>4161</v>
      </c>
    </row>
    <row r="50" spans="1:8" ht="13.5">
      <c r="A50" s="79" t="s">
        <v>252</v>
      </c>
      <c r="B50" s="312"/>
      <c r="C50" s="314">
        <v>0</v>
      </c>
      <c r="D50" s="336">
        <f t="shared" si="3"/>
        <v>0</v>
      </c>
      <c r="E50" s="314">
        <v>0</v>
      </c>
      <c r="F50" s="336">
        <f t="shared" si="4"/>
        <v>0</v>
      </c>
      <c r="G50" s="387" t="e">
        <f t="shared" si="5"/>
        <v>#DIV/0!</v>
      </c>
      <c r="H50" s="60">
        <v>4166</v>
      </c>
    </row>
    <row r="51" spans="1:8" ht="13.5">
      <c r="A51" s="79" t="s">
        <v>253</v>
      </c>
      <c r="B51" s="312"/>
      <c r="C51" s="314"/>
      <c r="D51" s="336">
        <f t="shared" si="3"/>
        <v>0</v>
      </c>
      <c r="E51" s="314"/>
      <c r="F51" s="336">
        <f t="shared" si="4"/>
        <v>0</v>
      </c>
      <c r="G51" s="387" t="e">
        <f t="shared" si="5"/>
        <v>#DIV/0!</v>
      </c>
      <c r="H51" s="60">
        <v>4167</v>
      </c>
    </row>
    <row r="52" spans="1:8" ht="13.5">
      <c r="A52" s="79" t="s">
        <v>254</v>
      </c>
      <c r="B52" s="312"/>
      <c r="C52" s="319"/>
      <c r="D52" s="336">
        <f t="shared" si="3"/>
        <v>0</v>
      </c>
      <c r="E52" s="319"/>
      <c r="F52" s="336">
        <f t="shared" si="4"/>
        <v>0</v>
      </c>
      <c r="G52" s="387" t="e">
        <f t="shared" si="5"/>
        <v>#DIV/0!</v>
      </c>
      <c r="H52" s="60">
        <v>4176</v>
      </c>
    </row>
    <row r="53" spans="1:8" ht="13.5">
      <c r="A53" s="79" t="s">
        <v>255</v>
      </c>
      <c r="B53" s="312"/>
      <c r="C53" s="314"/>
      <c r="D53" s="336">
        <f t="shared" si="3"/>
        <v>0</v>
      </c>
      <c r="E53" s="314"/>
      <c r="F53" s="336">
        <f t="shared" si="4"/>
        <v>0</v>
      </c>
      <c r="G53" s="387" t="e">
        <f t="shared" si="5"/>
        <v>#DIV/0!</v>
      </c>
      <c r="H53" s="60">
        <v>4179</v>
      </c>
    </row>
    <row r="54" spans="1:8" ht="13.5">
      <c r="A54" s="79" t="s">
        <v>256</v>
      </c>
      <c r="B54" s="312"/>
      <c r="C54" s="319"/>
      <c r="D54" s="336">
        <f t="shared" si="3"/>
        <v>0</v>
      </c>
      <c r="E54" s="319"/>
      <c r="F54" s="336">
        <f t="shared" si="4"/>
        <v>0</v>
      </c>
      <c r="G54" s="387" t="e">
        <f t="shared" si="5"/>
        <v>#DIV/0!</v>
      </c>
      <c r="H54" s="60">
        <v>4180</v>
      </c>
    </row>
    <row r="55" spans="1:8" ht="13.5">
      <c r="A55" s="79" t="s">
        <v>257</v>
      </c>
      <c r="B55" s="312"/>
      <c r="C55" s="319"/>
      <c r="D55" s="336">
        <f t="shared" si="3"/>
        <v>0</v>
      </c>
      <c r="E55" s="319"/>
      <c r="F55" s="336">
        <f t="shared" si="4"/>
        <v>0</v>
      </c>
      <c r="G55" s="387" t="e">
        <f t="shared" si="5"/>
        <v>#DIV/0!</v>
      </c>
      <c r="H55" s="60">
        <v>4190</v>
      </c>
    </row>
    <row r="56" spans="1:8" ht="13.5">
      <c r="A56" s="79" t="s">
        <v>258</v>
      </c>
      <c r="B56" s="312"/>
      <c r="C56" s="314">
        <v>0</v>
      </c>
      <c r="D56" s="336">
        <f t="shared" si="3"/>
        <v>0</v>
      </c>
      <c r="E56" s="314">
        <v>0</v>
      </c>
      <c r="F56" s="336">
        <f t="shared" si="4"/>
        <v>0</v>
      </c>
      <c r="G56" s="387" t="e">
        <f t="shared" si="5"/>
        <v>#DIV/0!</v>
      </c>
      <c r="H56" s="60">
        <v>41901</v>
      </c>
    </row>
    <row r="57" spans="1:8" ht="14.25" thickBot="1">
      <c r="A57" s="79" t="s">
        <v>259</v>
      </c>
      <c r="B57" s="312"/>
      <c r="C57" s="315"/>
      <c r="D57" s="432">
        <f t="shared" si="3"/>
        <v>0</v>
      </c>
      <c r="E57" s="315"/>
      <c r="F57" s="432">
        <f t="shared" si="4"/>
        <v>0</v>
      </c>
      <c r="G57" s="388" t="e">
        <f t="shared" si="5"/>
        <v>#DIV/0!</v>
      </c>
      <c r="H57" s="60">
        <v>4191</v>
      </c>
    </row>
    <row r="58" spans="1:7" ht="13.5">
      <c r="A58" s="34"/>
      <c r="B58" s="35" t="s">
        <v>166</v>
      </c>
      <c r="C58" s="34"/>
      <c r="D58" s="34"/>
      <c r="E58" s="34"/>
      <c r="F58"/>
      <c r="G58" s="304" t="s">
        <v>352</v>
      </c>
    </row>
    <row r="59" spans="1:7" ht="13.5">
      <c r="A59" s="34"/>
      <c r="B59" s="37" t="s">
        <v>33</v>
      </c>
      <c r="C59" s="34" t="s">
        <v>218</v>
      </c>
      <c r="D59" s="34"/>
      <c r="E59" s="34"/>
      <c r="F59" s="45"/>
      <c r="G59" s="208"/>
    </row>
    <row r="60" spans="1:7" ht="13.5">
      <c r="A60" s="162"/>
      <c r="B60" s="37" t="s">
        <v>34</v>
      </c>
      <c r="C60" s="34" t="s">
        <v>219</v>
      </c>
      <c r="D60" s="34"/>
      <c r="E60" s="34"/>
      <c r="F60" s="45"/>
      <c r="G60" s="208"/>
    </row>
    <row r="61" spans="1:7" ht="18">
      <c r="A61" s="34"/>
      <c r="B61" s="38" t="s">
        <v>35</v>
      </c>
      <c r="C61" s="34" t="s">
        <v>220</v>
      </c>
      <c r="D61" s="34"/>
      <c r="E61" s="34"/>
      <c r="F61" s="51"/>
      <c r="G61" s="305"/>
    </row>
    <row r="62" spans="1:7" ht="13.5">
      <c r="A62" s="34"/>
      <c r="B62" s="34"/>
      <c r="C62" s="34" t="s">
        <v>378</v>
      </c>
      <c r="D62" s="34"/>
      <c r="E62" s="34"/>
      <c r="F62" s="48"/>
      <c r="G62" s="305"/>
    </row>
    <row r="63" spans="1:7" ht="12.75">
      <c r="A63" s="149"/>
      <c r="B63" s="124" t="s">
        <v>79</v>
      </c>
      <c r="C63" s="45"/>
      <c r="D63" s="45"/>
      <c r="E63" s="45"/>
      <c r="F63" s="48"/>
      <c r="G63" s="306"/>
    </row>
    <row r="64" spans="1:7" ht="12.75">
      <c r="A64" s="303"/>
      <c r="B64" s="307" t="s">
        <v>374</v>
      </c>
      <c r="C64" s="79"/>
      <c r="D64" s="79"/>
      <c r="E64" s="79"/>
      <c r="F64" s="306"/>
      <c r="G64" s="306"/>
    </row>
    <row r="65" spans="2:6" ht="12.75">
      <c r="B65" s="79"/>
      <c r="C65" s="79"/>
      <c r="D65" s="79"/>
      <c r="E65" s="79"/>
      <c r="F65" s="303"/>
    </row>
    <row r="66" spans="1:6" ht="12.75">
      <c r="A66" s="303"/>
      <c r="B66" s="302" t="s">
        <v>152</v>
      </c>
      <c r="C66" s="79"/>
      <c r="D66" s="79"/>
      <c r="E66" s="79"/>
      <c r="F66" s="303"/>
    </row>
    <row r="67" spans="1:6" ht="12.75">
      <c r="A67" s="303"/>
      <c r="B67" s="79"/>
      <c r="C67" s="79"/>
      <c r="D67" s="79"/>
      <c r="E67" s="79"/>
      <c r="F67" s="303"/>
    </row>
    <row r="68" spans="2:5" ht="11.25">
      <c r="B68" s="431" t="s">
        <v>317</v>
      </c>
      <c r="C68" s="79"/>
      <c r="D68" s="79"/>
      <c r="E68" s="79"/>
    </row>
    <row r="70" spans="1:7" ht="12" thickBot="1">
      <c r="A70" s="122">
        <v>1</v>
      </c>
      <c r="B70" s="122">
        <v>2</v>
      </c>
      <c r="C70" s="122">
        <v>3</v>
      </c>
      <c r="D70" s="122">
        <v>4</v>
      </c>
      <c r="E70" s="122">
        <v>5</v>
      </c>
      <c r="F70" s="122">
        <v>6</v>
      </c>
      <c r="G70" s="122">
        <v>7</v>
      </c>
    </row>
    <row r="71" spans="1:7" ht="13.5">
      <c r="A71" s="302"/>
      <c r="B71" s="309" t="s">
        <v>7</v>
      </c>
      <c r="C71" s="310" t="s">
        <v>365</v>
      </c>
      <c r="D71" s="450" t="s">
        <v>28</v>
      </c>
      <c r="E71" s="310" t="s">
        <v>380</v>
      </c>
      <c r="F71" s="538" t="s">
        <v>28</v>
      </c>
      <c r="G71" s="393" t="s">
        <v>13</v>
      </c>
    </row>
    <row r="72" spans="3:7" ht="12" thickBot="1">
      <c r="C72" s="204" t="s">
        <v>16</v>
      </c>
      <c r="D72" s="261" t="s">
        <v>15</v>
      </c>
      <c r="E72" s="524" t="s">
        <v>16</v>
      </c>
      <c r="F72" s="556" t="s">
        <v>15</v>
      </c>
      <c r="G72" s="426" t="s">
        <v>40</v>
      </c>
    </row>
    <row r="73" spans="1:7" ht="11.25">
      <c r="A73" s="414" t="s">
        <v>260</v>
      </c>
      <c r="B73" s="79"/>
      <c r="C73" s="504"/>
      <c r="D73" s="449">
        <f aca="true" t="shared" si="6" ref="D73:D89">$C73/$C$178*100</f>
        <v>0</v>
      </c>
      <c r="E73" s="459"/>
      <c r="F73" s="435">
        <f aca="true" t="shared" si="7" ref="F73:F89">$E73/$E$178*100</f>
        <v>0</v>
      </c>
      <c r="G73" s="384" t="e">
        <f aca="true" t="shared" si="8" ref="G73:G89">E73/C73*100</f>
        <v>#DIV/0!</v>
      </c>
    </row>
    <row r="74" spans="1:7" ht="11.25">
      <c r="A74" s="414" t="s">
        <v>261</v>
      </c>
      <c r="B74" s="79"/>
      <c r="C74" s="504"/>
      <c r="D74" s="419">
        <f t="shared" si="6"/>
        <v>0</v>
      </c>
      <c r="E74" s="437"/>
      <c r="F74" s="436">
        <f t="shared" si="7"/>
        <v>0</v>
      </c>
      <c r="G74" s="384" t="e">
        <f t="shared" si="8"/>
        <v>#DIV/0!</v>
      </c>
    </row>
    <row r="75" spans="1:7" ht="11.25">
      <c r="A75" s="414" t="s">
        <v>385</v>
      </c>
      <c r="B75" s="79"/>
      <c r="C75" s="504"/>
      <c r="D75" s="419">
        <f t="shared" si="6"/>
        <v>0</v>
      </c>
      <c r="E75" s="437"/>
      <c r="F75" s="436">
        <f t="shared" si="7"/>
        <v>0</v>
      </c>
      <c r="G75" s="384" t="e">
        <f t="shared" si="8"/>
        <v>#DIV/0!</v>
      </c>
    </row>
    <row r="76" spans="1:7" ht="11.25">
      <c r="A76" s="414" t="s">
        <v>386</v>
      </c>
      <c r="B76" s="79"/>
      <c r="C76" s="504"/>
      <c r="D76" s="419">
        <f t="shared" si="6"/>
        <v>0</v>
      </c>
      <c r="E76" s="437"/>
      <c r="F76" s="436">
        <f t="shared" si="7"/>
        <v>0</v>
      </c>
      <c r="G76" s="384" t="e">
        <f t="shared" si="8"/>
        <v>#DIV/0!</v>
      </c>
    </row>
    <row r="77" spans="1:7" ht="11.25">
      <c r="A77" s="414" t="s">
        <v>262</v>
      </c>
      <c r="B77" s="79"/>
      <c r="C77" s="504"/>
      <c r="D77" s="419">
        <f t="shared" si="6"/>
        <v>0</v>
      </c>
      <c r="E77" s="437"/>
      <c r="F77" s="436">
        <f t="shared" si="7"/>
        <v>0</v>
      </c>
      <c r="G77" s="384" t="e">
        <f t="shared" si="8"/>
        <v>#DIV/0!</v>
      </c>
    </row>
    <row r="78" spans="1:7" ht="11.25">
      <c r="A78" s="414" t="s">
        <v>263</v>
      </c>
      <c r="B78" s="79"/>
      <c r="C78" s="504"/>
      <c r="D78" s="419">
        <f t="shared" si="6"/>
        <v>0</v>
      </c>
      <c r="E78" s="437"/>
      <c r="F78" s="436">
        <f t="shared" si="7"/>
        <v>0</v>
      </c>
      <c r="G78" s="384" t="e">
        <f t="shared" si="8"/>
        <v>#DIV/0!</v>
      </c>
    </row>
    <row r="79" spans="1:7" ht="11.25">
      <c r="A79" s="414" t="s">
        <v>264</v>
      </c>
      <c r="B79" s="79"/>
      <c r="C79" s="504"/>
      <c r="D79" s="419">
        <f t="shared" si="6"/>
        <v>0</v>
      </c>
      <c r="E79" s="437"/>
      <c r="F79" s="436">
        <f t="shared" si="7"/>
        <v>0</v>
      </c>
      <c r="G79" s="384" t="e">
        <f t="shared" si="8"/>
        <v>#DIV/0!</v>
      </c>
    </row>
    <row r="80" spans="1:7" ht="11.25">
      <c r="A80" s="414" t="s">
        <v>265</v>
      </c>
      <c r="B80" s="79"/>
      <c r="C80" s="504"/>
      <c r="D80" s="419">
        <f t="shared" si="6"/>
        <v>0</v>
      </c>
      <c r="E80" s="437"/>
      <c r="F80" s="436">
        <f t="shared" si="7"/>
        <v>0</v>
      </c>
      <c r="G80" s="384" t="e">
        <f t="shared" si="8"/>
        <v>#DIV/0!</v>
      </c>
    </row>
    <row r="81" spans="1:7" ht="11.25">
      <c r="A81" s="414" t="s">
        <v>266</v>
      </c>
      <c r="B81" s="79"/>
      <c r="C81" s="437">
        <v>200000</v>
      </c>
      <c r="D81" s="419">
        <f t="shared" si="6"/>
        <v>29.205607476635514</v>
      </c>
      <c r="E81" s="437">
        <v>200000</v>
      </c>
      <c r="F81" s="436">
        <f t="shared" si="7"/>
        <v>28.99391127863149</v>
      </c>
      <c r="G81" s="384">
        <f t="shared" si="8"/>
        <v>100</v>
      </c>
    </row>
    <row r="82" spans="1:7" ht="11.25">
      <c r="A82" s="414" t="s">
        <v>267</v>
      </c>
      <c r="B82" s="79"/>
      <c r="C82" s="437"/>
      <c r="D82" s="419">
        <f t="shared" si="6"/>
        <v>0</v>
      </c>
      <c r="E82" s="437"/>
      <c r="F82" s="436">
        <f t="shared" si="7"/>
        <v>0</v>
      </c>
      <c r="G82" s="384" t="e">
        <f t="shared" si="8"/>
        <v>#DIV/0!</v>
      </c>
    </row>
    <row r="83" spans="1:7" ht="11.25">
      <c r="A83" s="414" t="s">
        <v>268</v>
      </c>
      <c r="B83" s="79"/>
      <c r="C83" s="437">
        <v>2500</v>
      </c>
      <c r="D83" s="419">
        <f t="shared" si="6"/>
        <v>0.36507009345794394</v>
      </c>
      <c r="E83" s="437">
        <v>2500</v>
      </c>
      <c r="F83" s="436">
        <f t="shared" si="7"/>
        <v>0.36242389098289357</v>
      </c>
      <c r="G83" s="384">
        <f t="shared" si="8"/>
        <v>100</v>
      </c>
    </row>
    <row r="84" spans="1:7" ht="11.25">
      <c r="A84" s="414" t="s">
        <v>269</v>
      </c>
      <c r="B84" s="312"/>
      <c r="C84" s="331"/>
      <c r="D84" s="419">
        <f t="shared" si="6"/>
        <v>0</v>
      </c>
      <c r="E84" s="314"/>
      <c r="F84" s="436">
        <f t="shared" si="7"/>
        <v>0</v>
      </c>
      <c r="G84" s="384" t="e">
        <f t="shared" si="8"/>
        <v>#DIV/0!</v>
      </c>
    </row>
    <row r="85" spans="1:7" ht="11.25">
      <c r="A85" s="414" t="s">
        <v>270</v>
      </c>
      <c r="B85" s="312"/>
      <c r="C85" s="331"/>
      <c r="D85" s="419">
        <f t="shared" si="6"/>
        <v>0</v>
      </c>
      <c r="E85" s="314"/>
      <c r="F85" s="436">
        <f t="shared" si="7"/>
        <v>0</v>
      </c>
      <c r="G85" s="384" t="e">
        <f t="shared" si="8"/>
        <v>#DIV/0!</v>
      </c>
    </row>
    <row r="86" spans="1:7" ht="11.25">
      <c r="A86" s="414" t="s">
        <v>271</v>
      </c>
      <c r="B86" s="312"/>
      <c r="C86" s="499"/>
      <c r="D86" s="419">
        <f t="shared" si="6"/>
        <v>0</v>
      </c>
      <c r="E86" s="319"/>
      <c r="F86" s="436">
        <f t="shared" si="7"/>
        <v>0</v>
      </c>
      <c r="G86" s="384" t="e">
        <f t="shared" si="8"/>
        <v>#DIV/0!</v>
      </c>
    </row>
    <row r="87" spans="1:7" ht="11.25">
      <c r="A87" s="414" t="s">
        <v>272</v>
      </c>
      <c r="B87" s="312"/>
      <c r="C87" s="499"/>
      <c r="D87" s="419">
        <f t="shared" si="6"/>
        <v>0</v>
      </c>
      <c r="E87" s="319"/>
      <c r="F87" s="436">
        <f t="shared" si="7"/>
        <v>0</v>
      </c>
      <c r="G87" s="384" t="e">
        <f t="shared" si="8"/>
        <v>#DIV/0!</v>
      </c>
    </row>
    <row r="88" spans="3:7" ht="12" thickBot="1">
      <c r="C88" s="504"/>
      <c r="D88" s="419">
        <f t="shared" si="6"/>
        <v>0</v>
      </c>
      <c r="E88" s="437"/>
      <c r="F88" s="436">
        <f t="shared" si="7"/>
        <v>0</v>
      </c>
      <c r="G88" s="384" t="e">
        <f t="shared" si="8"/>
        <v>#DIV/0!</v>
      </c>
    </row>
    <row r="89" spans="1:7" ht="12" thickBot="1">
      <c r="A89" s="302">
        <v>41</v>
      </c>
      <c r="B89" s="316" t="s">
        <v>74</v>
      </c>
      <c r="C89" s="500">
        <f>+SUM(C39:C57,C73:C87)</f>
        <v>289500</v>
      </c>
      <c r="D89" s="533">
        <f t="shared" si="6"/>
        <v>42.27511682242991</v>
      </c>
      <c r="E89" s="317">
        <f>+SUM(E39:E57,E73:E87)</f>
        <v>289500</v>
      </c>
      <c r="F89" s="535">
        <f t="shared" si="7"/>
        <v>41.96868657581908</v>
      </c>
      <c r="G89" s="385">
        <f t="shared" si="8"/>
        <v>100</v>
      </c>
    </row>
    <row r="90" spans="3:7" ht="12" thickBot="1">
      <c r="C90" s="182"/>
      <c r="D90" s="187"/>
      <c r="E90" s="182"/>
      <c r="F90" s="187"/>
      <c r="G90" s="313"/>
    </row>
    <row r="91" spans="1:7" ht="11.25">
      <c r="A91" s="302">
        <v>42</v>
      </c>
      <c r="B91" s="316" t="s">
        <v>19</v>
      </c>
      <c r="C91" s="498">
        <f>SUM(C92:C102)</f>
        <v>271000</v>
      </c>
      <c r="D91" s="360">
        <f aca="true" t="shared" si="9" ref="D91:D102">$C91/$C$178*100</f>
        <v>39.57359813084112</v>
      </c>
      <c r="E91" s="501">
        <f>SUM(E92:E102)</f>
        <v>271000</v>
      </c>
      <c r="F91" s="360">
        <f aca="true" t="shared" si="10" ref="F91:F102">$E91/$E$178*100</f>
        <v>39.28674978254566</v>
      </c>
      <c r="G91" s="383">
        <f aca="true" t="shared" si="11" ref="G91:G102">E91/C91*100</f>
        <v>100</v>
      </c>
    </row>
    <row r="92" spans="1:7" ht="11.25">
      <c r="A92" s="414" t="s">
        <v>273</v>
      </c>
      <c r="B92" s="316"/>
      <c r="C92" s="327">
        <v>185000</v>
      </c>
      <c r="D92" s="361">
        <f t="shared" si="9"/>
        <v>27.015186915887853</v>
      </c>
      <c r="E92" s="180">
        <v>185000</v>
      </c>
      <c r="F92" s="361">
        <f t="shared" si="10"/>
        <v>26.819367932734128</v>
      </c>
      <c r="G92" s="384">
        <f t="shared" si="11"/>
        <v>100</v>
      </c>
    </row>
    <row r="93" spans="1:7" ht="11.25">
      <c r="A93" s="414" t="s">
        <v>274</v>
      </c>
      <c r="B93" s="316"/>
      <c r="C93" s="327">
        <v>13000</v>
      </c>
      <c r="D93" s="361">
        <f t="shared" si="9"/>
        <v>1.8983644859813082</v>
      </c>
      <c r="E93" s="180">
        <v>13000</v>
      </c>
      <c r="F93" s="361">
        <f t="shared" si="10"/>
        <v>1.8846042331110466</v>
      </c>
      <c r="G93" s="384">
        <f t="shared" si="11"/>
        <v>100</v>
      </c>
    </row>
    <row r="94" spans="1:7" ht="11.25">
      <c r="A94" s="414" t="s">
        <v>275</v>
      </c>
      <c r="B94" s="316"/>
      <c r="C94" s="327"/>
      <c r="D94" s="361">
        <f t="shared" si="9"/>
        <v>0</v>
      </c>
      <c r="E94" s="180"/>
      <c r="F94" s="361">
        <f t="shared" si="10"/>
        <v>0</v>
      </c>
      <c r="G94" s="384" t="e">
        <f t="shared" si="11"/>
        <v>#DIV/0!</v>
      </c>
    </row>
    <row r="95" spans="1:7" ht="11.25">
      <c r="A95" s="414" t="s">
        <v>276</v>
      </c>
      <c r="B95" s="316"/>
      <c r="C95" s="327">
        <v>40000</v>
      </c>
      <c r="D95" s="361">
        <f t="shared" si="9"/>
        <v>5.841121495327103</v>
      </c>
      <c r="E95" s="180">
        <v>40000</v>
      </c>
      <c r="F95" s="361">
        <f t="shared" si="10"/>
        <v>5.798782255726297</v>
      </c>
      <c r="G95" s="384">
        <f t="shared" si="11"/>
        <v>100</v>
      </c>
    </row>
    <row r="96" spans="1:7" ht="11.25">
      <c r="A96" s="414" t="s">
        <v>277</v>
      </c>
      <c r="B96" s="316"/>
      <c r="C96" s="327"/>
      <c r="D96" s="361">
        <f t="shared" si="9"/>
        <v>0</v>
      </c>
      <c r="E96" s="180"/>
      <c r="F96" s="361">
        <f t="shared" si="10"/>
        <v>0</v>
      </c>
      <c r="G96" s="384" t="e">
        <f t="shared" si="11"/>
        <v>#DIV/0!</v>
      </c>
    </row>
    <row r="97" spans="1:7" ht="11.25">
      <c r="A97" s="415" t="s">
        <v>278</v>
      </c>
      <c r="B97" s="192"/>
      <c r="C97" s="327"/>
      <c r="D97" s="361">
        <f t="shared" si="9"/>
        <v>0</v>
      </c>
      <c r="E97" s="180"/>
      <c r="F97" s="361">
        <f t="shared" si="10"/>
        <v>0</v>
      </c>
      <c r="G97" s="384" t="e">
        <f t="shared" si="11"/>
        <v>#DIV/0!</v>
      </c>
    </row>
    <row r="98" spans="1:7" ht="11.25">
      <c r="A98" s="414" t="s">
        <v>279</v>
      </c>
      <c r="B98" s="192"/>
      <c r="C98" s="327"/>
      <c r="D98" s="361">
        <f t="shared" si="9"/>
        <v>0</v>
      </c>
      <c r="E98" s="180"/>
      <c r="F98" s="361">
        <f t="shared" si="10"/>
        <v>0</v>
      </c>
      <c r="G98" s="384" t="e">
        <f t="shared" si="11"/>
        <v>#DIV/0!</v>
      </c>
    </row>
    <row r="99" spans="1:7" ht="11.25">
      <c r="A99" s="414" t="s">
        <v>280</v>
      </c>
      <c r="B99" s="192"/>
      <c r="C99" s="327"/>
      <c r="D99" s="361">
        <f t="shared" si="9"/>
        <v>0</v>
      </c>
      <c r="E99" s="180"/>
      <c r="F99" s="361">
        <f t="shared" si="10"/>
        <v>0</v>
      </c>
      <c r="G99" s="384" t="e">
        <f t="shared" si="11"/>
        <v>#DIV/0!</v>
      </c>
    </row>
    <row r="100" spans="1:7" ht="11.25">
      <c r="A100" s="414" t="s">
        <v>281</v>
      </c>
      <c r="B100" s="192"/>
      <c r="C100" s="327">
        <v>33000</v>
      </c>
      <c r="D100" s="361">
        <f t="shared" si="9"/>
        <v>4.81892523364486</v>
      </c>
      <c r="E100" s="180">
        <v>33000</v>
      </c>
      <c r="F100" s="361">
        <f t="shared" si="10"/>
        <v>4.783995360974195</v>
      </c>
      <c r="G100" s="384">
        <f t="shared" si="11"/>
        <v>100</v>
      </c>
    </row>
    <row r="101" spans="1:7" ht="11.25">
      <c r="A101" s="414" t="s">
        <v>282</v>
      </c>
      <c r="B101" s="192"/>
      <c r="C101" s="327"/>
      <c r="D101" s="361">
        <f t="shared" si="9"/>
        <v>0</v>
      </c>
      <c r="E101" s="180"/>
      <c r="F101" s="361">
        <f t="shared" si="10"/>
        <v>0</v>
      </c>
      <c r="G101" s="384" t="e">
        <f t="shared" si="11"/>
        <v>#DIV/0!</v>
      </c>
    </row>
    <row r="102" spans="1:7" ht="12" thickBot="1">
      <c r="A102" s="414" t="s">
        <v>283</v>
      </c>
      <c r="B102" s="192"/>
      <c r="C102" s="418"/>
      <c r="D102" s="362">
        <f t="shared" si="9"/>
        <v>0</v>
      </c>
      <c r="E102" s="448"/>
      <c r="F102" s="362">
        <f t="shared" si="10"/>
        <v>0</v>
      </c>
      <c r="G102" s="421" t="e">
        <f t="shared" si="11"/>
        <v>#DIV/0!</v>
      </c>
    </row>
    <row r="103" spans="1:7" ht="12" thickBot="1">
      <c r="A103" s="79"/>
      <c r="B103" s="192"/>
      <c r="C103" s="323"/>
      <c r="D103" s="187"/>
      <c r="E103" s="323"/>
      <c r="F103" s="187"/>
      <c r="G103" s="313"/>
    </row>
    <row r="104" spans="1:7" ht="12" thickBot="1">
      <c r="A104" s="302">
        <v>43</v>
      </c>
      <c r="B104" s="316" t="s">
        <v>20</v>
      </c>
      <c r="C104" s="317">
        <v>50000</v>
      </c>
      <c r="D104" s="525">
        <f>$C104/$C$178*100</f>
        <v>7.3014018691588785</v>
      </c>
      <c r="E104" s="317">
        <v>50000</v>
      </c>
      <c r="F104" s="525">
        <f>$E104/$E$178*100</f>
        <v>7.2484778196578725</v>
      </c>
      <c r="G104" s="389">
        <f>E104/C104*100</f>
        <v>100</v>
      </c>
    </row>
    <row r="105" spans="1:7" ht="12" thickBot="1">
      <c r="A105" s="302"/>
      <c r="B105" s="302"/>
      <c r="C105" s="181"/>
      <c r="D105" s="187"/>
      <c r="E105" s="181"/>
      <c r="F105" s="187"/>
      <c r="G105" s="313"/>
    </row>
    <row r="106" spans="1:7" ht="12" thickBot="1">
      <c r="A106" s="302">
        <v>4450</v>
      </c>
      <c r="B106" s="302" t="s">
        <v>77</v>
      </c>
      <c r="C106" s="317">
        <v>0</v>
      </c>
      <c r="D106" s="525">
        <f>$C106/$C$178*100</f>
        <v>0</v>
      </c>
      <c r="E106" s="317">
        <v>0</v>
      </c>
      <c r="F106" s="525">
        <f>$E106/$E$178*100</f>
        <v>0</v>
      </c>
      <c r="G106" s="389" t="e">
        <f>E106/C106*100</f>
        <v>#DIV/0!</v>
      </c>
    </row>
    <row r="107" spans="1:7" ht="12" thickBot="1">
      <c r="A107" s="79"/>
      <c r="B107" s="79"/>
      <c r="C107" s="416"/>
      <c r="D107" s="416"/>
      <c r="E107" s="416"/>
      <c r="F107" s="416"/>
      <c r="G107" s="416"/>
    </row>
    <row r="108" spans="1:7" ht="11.25">
      <c r="A108" s="414" t="s">
        <v>284</v>
      </c>
      <c r="B108" s="79"/>
      <c r="C108" s="559">
        <v>1000</v>
      </c>
      <c r="D108" s="360">
        <f aca="true" t="shared" si="12" ref="D108:D121">$C108/$C$178*100</f>
        <v>0.14602803738317757</v>
      </c>
      <c r="E108" s="447">
        <v>1000</v>
      </c>
      <c r="F108" s="360">
        <f aca="true" t="shared" si="13" ref="F108:F121">$E108/$E$178*100</f>
        <v>0.14496955639315745</v>
      </c>
      <c r="G108" s="383">
        <f aca="true" t="shared" si="14" ref="G108:G121">E108/C108*100</f>
        <v>100</v>
      </c>
    </row>
    <row r="109" spans="1:7" ht="11.25">
      <c r="A109" s="414" t="s">
        <v>285</v>
      </c>
      <c r="B109" s="79"/>
      <c r="C109" s="287">
        <v>0</v>
      </c>
      <c r="D109" s="361">
        <f t="shared" si="12"/>
        <v>0</v>
      </c>
      <c r="E109" s="180">
        <v>0</v>
      </c>
      <c r="F109" s="361">
        <f t="shared" si="13"/>
        <v>0</v>
      </c>
      <c r="G109" s="384" t="e">
        <f t="shared" si="14"/>
        <v>#DIV/0!</v>
      </c>
    </row>
    <row r="110" spans="1:7" ht="11.25">
      <c r="A110" s="414" t="s">
        <v>286</v>
      </c>
      <c r="B110" s="323"/>
      <c r="C110" s="287">
        <v>0</v>
      </c>
      <c r="D110" s="361">
        <f t="shared" si="12"/>
        <v>0</v>
      </c>
      <c r="E110" s="180">
        <v>0</v>
      </c>
      <c r="F110" s="361">
        <f t="shared" si="13"/>
        <v>0</v>
      </c>
      <c r="G110" s="384" t="e">
        <f t="shared" si="14"/>
        <v>#DIV/0!</v>
      </c>
    </row>
    <row r="111" spans="1:7" ht="11.25">
      <c r="A111" s="414" t="s">
        <v>287</v>
      </c>
      <c r="B111" s="79"/>
      <c r="C111" s="287">
        <v>3000</v>
      </c>
      <c r="D111" s="361">
        <f t="shared" si="12"/>
        <v>0.4380841121495327</v>
      </c>
      <c r="E111" s="180">
        <v>3000</v>
      </c>
      <c r="F111" s="361">
        <f t="shared" si="13"/>
        <v>0.43490866917947235</v>
      </c>
      <c r="G111" s="384">
        <f t="shared" si="14"/>
        <v>100</v>
      </c>
    </row>
    <row r="112" spans="1:7" s="182" customFormat="1" ht="11.25">
      <c r="A112" s="441">
        <v>461400</v>
      </c>
      <c r="B112" s="323" t="s">
        <v>97</v>
      </c>
      <c r="C112" s="287"/>
      <c r="D112" s="361">
        <f t="shared" si="12"/>
        <v>0</v>
      </c>
      <c r="E112" s="180"/>
      <c r="F112" s="361">
        <f t="shared" si="13"/>
        <v>0</v>
      </c>
      <c r="G112" s="384" t="e">
        <f t="shared" si="14"/>
        <v>#DIV/0!</v>
      </c>
    </row>
    <row r="113" spans="1:7" s="182" customFormat="1" ht="11.25">
      <c r="A113" s="441">
        <v>461500</v>
      </c>
      <c r="B113" s="323" t="s">
        <v>21</v>
      </c>
      <c r="C113" s="287">
        <v>1800</v>
      </c>
      <c r="D113" s="361">
        <f t="shared" si="12"/>
        <v>0.2628504672897196</v>
      </c>
      <c r="E113" s="180">
        <v>1800</v>
      </c>
      <c r="F113" s="361">
        <f t="shared" si="13"/>
        <v>0.2609452015076834</v>
      </c>
      <c r="G113" s="384">
        <f t="shared" si="14"/>
        <v>100</v>
      </c>
    </row>
    <row r="114" spans="1:7" ht="11.25">
      <c r="A114" s="414" t="s">
        <v>288</v>
      </c>
      <c r="B114" s="79"/>
      <c r="C114" s="287">
        <v>2500</v>
      </c>
      <c r="D114" s="361">
        <f t="shared" si="12"/>
        <v>0.36507009345794394</v>
      </c>
      <c r="E114" s="180">
        <v>2500</v>
      </c>
      <c r="F114" s="361">
        <f t="shared" si="13"/>
        <v>0.36242389098289357</v>
      </c>
      <c r="G114" s="384">
        <f t="shared" si="14"/>
        <v>100</v>
      </c>
    </row>
    <row r="115" spans="1:7" ht="11.25">
      <c r="A115" s="414" t="s">
        <v>289</v>
      </c>
      <c r="B115" s="79"/>
      <c r="C115" s="287"/>
      <c r="D115" s="361">
        <f t="shared" si="12"/>
        <v>0</v>
      </c>
      <c r="E115" s="180"/>
      <c r="F115" s="361">
        <f t="shared" si="13"/>
        <v>0</v>
      </c>
      <c r="G115" s="384" t="e">
        <f t="shared" si="14"/>
        <v>#DIV/0!</v>
      </c>
    </row>
    <row r="116" spans="1:7" s="182" customFormat="1" ht="11.25">
      <c r="A116" s="443" t="s">
        <v>318</v>
      </c>
      <c r="B116" s="323"/>
      <c r="C116" s="287">
        <v>5000</v>
      </c>
      <c r="D116" s="361">
        <f t="shared" si="12"/>
        <v>0.7301401869158879</v>
      </c>
      <c r="E116" s="180">
        <v>5000</v>
      </c>
      <c r="F116" s="361">
        <f t="shared" si="13"/>
        <v>0.7248477819657871</v>
      </c>
      <c r="G116" s="384">
        <f t="shared" si="14"/>
        <v>100</v>
      </c>
    </row>
    <row r="117" spans="1:7" ht="11.25">
      <c r="A117" s="414" t="s">
        <v>290</v>
      </c>
      <c r="B117" s="79"/>
      <c r="C117" s="287"/>
      <c r="D117" s="361">
        <f t="shared" si="12"/>
        <v>0</v>
      </c>
      <c r="E117" s="180"/>
      <c r="F117" s="361">
        <f t="shared" si="13"/>
        <v>0</v>
      </c>
      <c r="G117" s="384" t="e">
        <f t="shared" si="14"/>
        <v>#DIV/0!</v>
      </c>
    </row>
    <row r="118" spans="1:7" ht="11.25">
      <c r="A118" s="414" t="s">
        <v>291</v>
      </c>
      <c r="B118" s="79"/>
      <c r="C118" s="287">
        <v>10000</v>
      </c>
      <c r="D118" s="361">
        <f t="shared" si="12"/>
        <v>1.4602803738317758</v>
      </c>
      <c r="E118" s="180">
        <v>10000</v>
      </c>
      <c r="F118" s="361">
        <f t="shared" si="13"/>
        <v>1.4496955639315743</v>
      </c>
      <c r="G118" s="384">
        <f t="shared" si="14"/>
        <v>100</v>
      </c>
    </row>
    <row r="119" spans="1:7" ht="11.25">
      <c r="A119" s="414" t="s">
        <v>292</v>
      </c>
      <c r="B119" s="79"/>
      <c r="C119" s="287"/>
      <c r="D119" s="361">
        <f t="shared" si="12"/>
        <v>0</v>
      </c>
      <c r="E119" s="180"/>
      <c r="F119" s="361">
        <f t="shared" si="13"/>
        <v>0</v>
      </c>
      <c r="G119" s="384" t="e">
        <f t="shared" si="14"/>
        <v>#DIV/0!</v>
      </c>
    </row>
    <row r="120" spans="1:7" ht="11.25">
      <c r="A120" s="414" t="s">
        <v>293</v>
      </c>
      <c r="B120" s="79"/>
      <c r="C120" s="287">
        <v>1000</v>
      </c>
      <c r="D120" s="361">
        <f t="shared" si="12"/>
        <v>0.14602803738317757</v>
      </c>
      <c r="E120" s="180">
        <v>1000</v>
      </c>
      <c r="F120" s="361">
        <f t="shared" si="13"/>
        <v>0.14496955639315745</v>
      </c>
      <c r="G120" s="384">
        <f t="shared" si="14"/>
        <v>100</v>
      </c>
    </row>
    <row r="121" spans="1:7" ht="12" thickBot="1">
      <c r="A121" s="414" t="s">
        <v>423</v>
      </c>
      <c r="B121" s="79" t="s">
        <v>422</v>
      </c>
      <c r="C121" s="322">
        <v>2000</v>
      </c>
      <c r="D121" s="362">
        <f t="shared" si="12"/>
        <v>0.29205607476635514</v>
      </c>
      <c r="E121" s="448">
        <v>2000</v>
      </c>
      <c r="F121" s="362">
        <f t="shared" si="13"/>
        <v>0.2899391127863149</v>
      </c>
      <c r="G121" s="421">
        <f t="shared" si="14"/>
        <v>100</v>
      </c>
    </row>
    <row r="122" spans="1:7" ht="13.5">
      <c r="A122" s="34"/>
      <c r="B122" s="35" t="s">
        <v>166</v>
      </c>
      <c r="C122" s="34"/>
      <c r="D122" s="34"/>
      <c r="E122" s="34"/>
      <c r="F122"/>
      <c r="G122" s="304" t="s">
        <v>353</v>
      </c>
    </row>
    <row r="123" spans="1:6" ht="13.5">
      <c r="A123" s="34"/>
      <c r="B123" s="37" t="s">
        <v>33</v>
      </c>
      <c r="C123" s="34" t="s">
        <v>218</v>
      </c>
      <c r="D123" s="34"/>
      <c r="E123" s="34"/>
      <c r="F123" s="45"/>
    </row>
    <row r="124" spans="1:6" ht="13.5">
      <c r="A124" s="162"/>
      <c r="B124" s="37" t="s">
        <v>34</v>
      </c>
      <c r="C124" s="34" t="s">
        <v>219</v>
      </c>
      <c r="D124" s="34"/>
      <c r="E124" s="34"/>
      <c r="F124" s="45"/>
    </row>
    <row r="125" spans="1:6" ht="18">
      <c r="A125" s="34"/>
      <c r="B125" s="38" t="s">
        <v>35</v>
      </c>
      <c r="C125" s="34" t="s">
        <v>220</v>
      </c>
      <c r="D125" s="34"/>
      <c r="E125" s="34"/>
      <c r="F125" s="51"/>
    </row>
    <row r="126" spans="1:6" ht="13.5">
      <c r="A126" s="34"/>
      <c r="B126" s="34"/>
      <c r="C126" s="34" t="s">
        <v>378</v>
      </c>
      <c r="D126" s="34"/>
      <c r="E126" s="34"/>
      <c r="F126" s="48"/>
    </row>
    <row r="127" spans="1:7" ht="12.75">
      <c r="A127" s="303"/>
      <c r="B127" s="124"/>
      <c r="C127" s="303"/>
      <c r="D127" s="303"/>
      <c r="E127" s="303"/>
      <c r="F127" s="306"/>
      <c r="G127" s="306"/>
    </row>
    <row r="128" spans="1:7" ht="12.75">
      <c r="A128" s="303"/>
      <c r="B128" s="307" t="s">
        <v>374</v>
      </c>
      <c r="C128" s="79"/>
      <c r="D128" s="79"/>
      <c r="E128" s="79"/>
      <c r="F128" s="306"/>
      <c r="G128" s="306"/>
    </row>
    <row r="129" spans="2:6" ht="12.75">
      <c r="B129" s="79"/>
      <c r="C129" s="79"/>
      <c r="D129" s="79"/>
      <c r="E129" s="79"/>
      <c r="F129" s="303"/>
    </row>
    <row r="130" spans="1:6" ht="12.75">
      <c r="A130" s="303"/>
      <c r="B130" s="302" t="s">
        <v>151</v>
      </c>
      <c r="C130" s="79"/>
      <c r="D130" s="79"/>
      <c r="E130" s="79"/>
      <c r="F130" s="303"/>
    </row>
    <row r="131" spans="1:6" ht="12.75">
      <c r="A131" s="303"/>
      <c r="B131" s="79"/>
      <c r="C131" s="79"/>
      <c r="D131" s="79"/>
      <c r="E131" s="79"/>
      <c r="F131" s="303"/>
    </row>
    <row r="132" spans="2:5" ht="11.25">
      <c r="B132" s="431" t="s">
        <v>317</v>
      </c>
      <c r="C132" s="79"/>
      <c r="D132" s="79"/>
      <c r="E132" s="79"/>
    </row>
    <row r="133" spans="1:7" ht="11.25">
      <c r="A133" s="122">
        <v>1</v>
      </c>
      <c r="B133" s="122">
        <v>2</v>
      </c>
      <c r="C133" s="122">
        <v>3</v>
      </c>
      <c r="D133" s="122">
        <v>4</v>
      </c>
      <c r="E133" s="122">
        <v>5</v>
      </c>
      <c r="F133" s="122">
        <v>6</v>
      </c>
      <c r="G133" s="122">
        <v>7</v>
      </c>
    </row>
    <row r="134" ht="12" thickBot="1">
      <c r="D134" s="122"/>
    </row>
    <row r="135" spans="1:7" ht="11.25">
      <c r="A135" s="302"/>
      <c r="B135" s="309" t="s">
        <v>7</v>
      </c>
      <c r="C135" s="445" t="s">
        <v>365</v>
      </c>
      <c r="D135" s="424" t="s">
        <v>28</v>
      </c>
      <c r="E135" s="423" t="s">
        <v>380</v>
      </c>
      <c r="F135" s="450" t="s">
        <v>28</v>
      </c>
      <c r="G135" s="451" t="s">
        <v>13</v>
      </c>
    </row>
    <row r="136" spans="1:7" ht="12" thickBot="1">
      <c r="A136" s="79"/>
      <c r="B136" s="79"/>
      <c r="C136" s="444" t="s">
        <v>16</v>
      </c>
      <c r="D136" s="446" t="s">
        <v>15</v>
      </c>
      <c r="E136" s="325" t="s">
        <v>16</v>
      </c>
      <c r="F136" s="261" t="s">
        <v>15</v>
      </c>
      <c r="G136" s="452" t="s">
        <v>40</v>
      </c>
    </row>
    <row r="137" spans="1:7" ht="11.25">
      <c r="A137" s="414"/>
      <c r="B137" s="79"/>
      <c r="C137" s="326"/>
      <c r="D137" s="360"/>
      <c r="E137" s="447"/>
      <c r="F137" s="360"/>
      <c r="G137" s="383"/>
    </row>
    <row r="138" spans="1:7" ht="11.25">
      <c r="A138" s="414" t="s">
        <v>294</v>
      </c>
      <c r="B138" s="79"/>
      <c r="C138" s="327"/>
      <c r="D138" s="361">
        <f aca="true" t="shared" si="15" ref="D138:D154">$C138/$C$178*100</f>
        <v>0</v>
      </c>
      <c r="E138" s="180"/>
      <c r="F138" s="361">
        <f aca="true" t="shared" si="16" ref="F138:F154">$E138/$E$178*100</f>
        <v>0</v>
      </c>
      <c r="G138" s="384" t="e">
        <f aca="true" t="shared" si="17" ref="G138:G154">E138/C138*100</f>
        <v>#DIV/0!</v>
      </c>
    </row>
    <row r="139" spans="1:7" ht="11.25">
      <c r="A139" s="414" t="s">
        <v>295</v>
      </c>
      <c r="B139" s="79"/>
      <c r="C139" s="327"/>
      <c r="D139" s="361">
        <f t="shared" si="15"/>
        <v>0</v>
      </c>
      <c r="E139" s="180"/>
      <c r="F139" s="361">
        <f t="shared" si="16"/>
        <v>0</v>
      </c>
      <c r="G139" s="384" t="e">
        <f t="shared" si="17"/>
        <v>#DIV/0!</v>
      </c>
    </row>
    <row r="140" spans="1:7" ht="11.25">
      <c r="A140" s="439" t="s">
        <v>319</v>
      </c>
      <c r="B140" s="79"/>
      <c r="C140" s="327"/>
      <c r="D140" s="361">
        <f t="shared" si="15"/>
        <v>0</v>
      </c>
      <c r="E140" s="180"/>
      <c r="F140" s="361">
        <f t="shared" si="16"/>
        <v>0</v>
      </c>
      <c r="G140" s="384" t="e">
        <f t="shared" si="17"/>
        <v>#DIV/0!</v>
      </c>
    </row>
    <row r="141" spans="1:7" ht="11.25">
      <c r="A141" s="439" t="s">
        <v>321</v>
      </c>
      <c r="B141" s="79"/>
      <c r="C141" s="327"/>
      <c r="D141" s="361">
        <f t="shared" si="15"/>
        <v>0</v>
      </c>
      <c r="E141" s="180"/>
      <c r="F141" s="361">
        <f t="shared" si="16"/>
        <v>0</v>
      </c>
      <c r="G141" s="384" t="e">
        <f t="shared" si="17"/>
        <v>#DIV/0!</v>
      </c>
    </row>
    <row r="142" spans="1:7" ht="11.25">
      <c r="A142" s="414" t="s">
        <v>296</v>
      </c>
      <c r="B142" s="79"/>
      <c r="C142" s="327"/>
      <c r="D142" s="361">
        <f t="shared" si="15"/>
        <v>0</v>
      </c>
      <c r="E142" s="180"/>
      <c r="F142" s="361">
        <f t="shared" si="16"/>
        <v>0</v>
      </c>
      <c r="G142" s="384" t="e">
        <f t="shared" si="17"/>
        <v>#DIV/0!</v>
      </c>
    </row>
    <row r="143" spans="1:7" ht="11.25">
      <c r="A143" s="439" t="s">
        <v>320</v>
      </c>
      <c r="B143" s="79"/>
      <c r="C143" s="327"/>
      <c r="D143" s="361">
        <f t="shared" si="15"/>
        <v>0</v>
      </c>
      <c r="E143" s="180"/>
      <c r="F143" s="361">
        <f t="shared" si="16"/>
        <v>0</v>
      </c>
      <c r="G143" s="384" t="e">
        <f t="shared" si="17"/>
        <v>#DIV/0!</v>
      </c>
    </row>
    <row r="144" spans="1:7" ht="11.25">
      <c r="A144" s="414" t="s">
        <v>297</v>
      </c>
      <c r="B144" s="79"/>
      <c r="C144" s="327"/>
      <c r="D144" s="361">
        <f t="shared" si="15"/>
        <v>0</v>
      </c>
      <c r="E144" s="180"/>
      <c r="F144" s="361">
        <f t="shared" si="16"/>
        <v>0</v>
      </c>
      <c r="G144" s="384" t="e">
        <f t="shared" si="17"/>
        <v>#DIV/0!</v>
      </c>
    </row>
    <row r="145" spans="1:7" ht="11.25">
      <c r="A145" s="414" t="s">
        <v>298</v>
      </c>
      <c r="B145" s="79"/>
      <c r="C145" s="327"/>
      <c r="D145" s="361">
        <f t="shared" si="15"/>
        <v>0</v>
      </c>
      <c r="E145" s="180"/>
      <c r="F145" s="361">
        <f t="shared" si="16"/>
        <v>0</v>
      </c>
      <c r="G145" s="384" t="e">
        <f t="shared" si="17"/>
        <v>#DIV/0!</v>
      </c>
    </row>
    <row r="146" spans="1:7" ht="11.25">
      <c r="A146" s="414" t="s">
        <v>299</v>
      </c>
      <c r="B146" s="79"/>
      <c r="C146" s="327"/>
      <c r="D146" s="361">
        <f t="shared" si="15"/>
        <v>0</v>
      </c>
      <c r="E146" s="180"/>
      <c r="F146" s="361">
        <f t="shared" si="16"/>
        <v>0</v>
      </c>
      <c r="G146" s="384" t="e">
        <f t="shared" si="17"/>
        <v>#DIV/0!</v>
      </c>
    </row>
    <row r="147" spans="1:7" ht="11.25">
      <c r="A147" s="414" t="s">
        <v>300</v>
      </c>
      <c r="B147" s="79"/>
      <c r="C147" s="327"/>
      <c r="D147" s="361">
        <f t="shared" si="15"/>
        <v>0</v>
      </c>
      <c r="E147" s="180"/>
      <c r="F147" s="361">
        <f t="shared" si="16"/>
        <v>0</v>
      </c>
      <c r="G147" s="384" t="e">
        <f t="shared" si="17"/>
        <v>#DIV/0!</v>
      </c>
    </row>
    <row r="148" spans="1:7" ht="11.25">
      <c r="A148" s="414" t="s">
        <v>301</v>
      </c>
      <c r="B148" s="79"/>
      <c r="C148" s="327"/>
      <c r="D148" s="361">
        <f t="shared" si="15"/>
        <v>0</v>
      </c>
      <c r="E148" s="180"/>
      <c r="F148" s="361">
        <f t="shared" si="16"/>
        <v>0</v>
      </c>
      <c r="G148" s="384" t="e">
        <f t="shared" si="17"/>
        <v>#DIV/0!</v>
      </c>
    </row>
    <row r="149" spans="1:7" ht="11.25">
      <c r="A149" s="414" t="s">
        <v>302</v>
      </c>
      <c r="B149" s="79"/>
      <c r="C149" s="327"/>
      <c r="D149" s="361">
        <f t="shared" si="15"/>
        <v>0</v>
      </c>
      <c r="E149" s="180"/>
      <c r="F149" s="361">
        <f t="shared" si="16"/>
        <v>0</v>
      </c>
      <c r="G149" s="384" t="e">
        <f t="shared" si="17"/>
        <v>#DIV/0!</v>
      </c>
    </row>
    <row r="150" spans="1:7" ht="11.25">
      <c r="A150" s="414" t="s">
        <v>303</v>
      </c>
      <c r="B150" s="79"/>
      <c r="C150" s="327"/>
      <c r="D150" s="361">
        <f t="shared" si="15"/>
        <v>0</v>
      </c>
      <c r="E150" s="180"/>
      <c r="F150" s="361">
        <f t="shared" si="16"/>
        <v>0</v>
      </c>
      <c r="G150" s="384" t="e">
        <f t="shared" si="17"/>
        <v>#DIV/0!</v>
      </c>
    </row>
    <row r="151" spans="1:7" ht="11.25">
      <c r="A151" s="414" t="s">
        <v>304</v>
      </c>
      <c r="B151" s="79"/>
      <c r="C151" s="327"/>
      <c r="D151" s="361">
        <f t="shared" si="15"/>
        <v>0</v>
      </c>
      <c r="E151" s="180"/>
      <c r="F151" s="361">
        <f t="shared" si="16"/>
        <v>0</v>
      </c>
      <c r="G151" s="384" t="e">
        <f t="shared" si="17"/>
        <v>#DIV/0!</v>
      </c>
    </row>
    <row r="152" spans="1:7" ht="11.25">
      <c r="A152" s="414" t="s">
        <v>305</v>
      </c>
      <c r="B152" s="79"/>
      <c r="C152" s="327"/>
      <c r="D152" s="361">
        <f t="shared" si="15"/>
        <v>0</v>
      </c>
      <c r="E152" s="180"/>
      <c r="F152" s="361">
        <f t="shared" si="16"/>
        <v>0</v>
      </c>
      <c r="G152" s="384" t="e">
        <f t="shared" si="17"/>
        <v>#DIV/0!</v>
      </c>
    </row>
    <row r="153" spans="1:7" ht="12" thickBot="1">
      <c r="A153" s="79"/>
      <c r="B153" s="79"/>
      <c r="C153" s="418"/>
      <c r="D153" s="362">
        <f t="shared" si="15"/>
        <v>0</v>
      </c>
      <c r="E153" s="448"/>
      <c r="F153" s="362">
        <f t="shared" si="16"/>
        <v>0</v>
      </c>
      <c r="G153" s="421" t="e">
        <f t="shared" si="17"/>
        <v>#DIV/0!</v>
      </c>
    </row>
    <row r="154" spans="1:7" ht="12" thickBot="1">
      <c r="A154" s="302">
        <v>46</v>
      </c>
      <c r="B154" s="316" t="s">
        <v>98</v>
      </c>
      <c r="C154" s="500">
        <f>SUM(C108:C121,C137:C153)</f>
        <v>26300</v>
      </c>
      <c r="D154" s="363">
        <f t="shared" si="15"/>
        <v>3.8405373831775704</v>
      </c>
      <c r="E154" s="438">
        <f>SUM(E108:E121,E137:E153)</f>
        <v>26300</v>
      </c>
      <c r="F154" s="363">
        <f t="shared" si="16"/>
        <v>3.8126993331400403</v>
      </c>
      <c r="G154" s="385">
        <f t="shared" si="17"/>
        <v>100</v>
      </c>
    </row>
    <row r="155" spans="1:7" ht="11.25">
      <c r="A155" s="79"/>
      <c r="B155" s="79"/>
      <c r="C155" s="79"/>
      <c r="D155" s="79"/>
      <c r="E155" s="79"/>
      <c r="F155" s="79"/>
      <c r="G155" s="313"/>
    </row>
    <row r="156" spans="1:7" ht="12" thickBot="1">
      <c r="A156" s="79"/>
      <c r="B156" s="79"/>
      <c r="C156" s="79"/>
      <c r="D156" s="79"/>
      <c r="E156" s="79"/>
      <c r="F156" s="79"/>
      <c r="G156" s="313"/>
    </row>
    <row r="157" spans="1:7" ht="11.25">
      <c r="A157" s="414" t="s">
        <v>306</v>
      </c>
      <c r="B157" s="79"/>
      <c r="C157" s="440"/>
      <c r="D157" s="360">
        <f>$C157/$C$178*100</f>
        <v>0</v>
      </c>
      <c r="E157" s="529"/>
      <c r="F157" s="360">
        <f>$E157/$E$178*100</f>
        <v>0</v>
      </c>
      <c r="G157" s="383" t="e">
        <f>E157/C157*100</f>
        <v>#DIV/0!</v>
      </c>
    </row>
    <row r="158" spans="1:7" ht="11.25">
      <c r="A158" s="414" t="s">
        <v>307</v>
      </c>
      <c r="B158" s="79"/>
      <c r="C158" s="328"/>
      <c r="D158" s="361">
        <f>$C158/$C$178*100</f>
        <v>0</v>
      </c>
      <c r="E158" s="416"/>
      <c r="F158" s="361">
        <f>$E158/$E$178*100</f>
        <v>0</v>
      </c>
      <c r="G158" s="384" t="e">
        <f>E158/C158*100</f>
        <v>#DIV/0!</v>
      </c>
    </row>
    <row r="159" spans="1:7" ht="11.25">
      <c r="A159" s="414" t="s">
        <v>308</v>
      </c>
      <c r="B159" s="79"/>
      <c r="C159" s="328"/>
      <c r="D159" s="361">
        <f>$C159/$C$178*100</f>
        <v>0</v>
      </c>
      <c r="E159" s="416"/>
      <c r="F159" s="361">
        <f>$E159/$E$178*100</f>
        <v>0</v>
      </c>
      <c r="G159" s="384" t="e">
        <f>E159/C159*100</f>
        <v>#DIV/0!</v>
      </c>
    </row>
    <row r="160" spans="1:7" ht="11.25">
      <c r="A160" s="414" t="s">
        <v>309</v>
      </c>
      <c r="B160" s="79"/>
      <c r="C160" s="331"/>
      <c r="D160" s="361">
        <f>$C160/$C$178*100</f>
        <v>0</v>
      </c>
      <c r="E160" s="333"/>
      <c r="F160" s="361">
        <f>$E160/$E$178*100</f>
        <v>0</v>
      </c>
      <c r="G160" s="384" t="e">
        <f>E160/C160*100</f>
        <v>#DIV/0!</v>
      </c>
    </row>
    <row r="161" spans="1:7" ht="12" thickBot="1">
      <c r="A161" s="414" t="s">
        <v>310</v>
      </c>
      <c r="B161" s="79"/>
      <c r="C161" s="332"/>
      <c r="D161" s="362">
        <f>$C161/$C$178*100</f>
        <v>0</v>
      </c>
      <c r="E161" s="522"/>
      <c r="F161" s="362">
        <f>$E161/$E$178*100</f>
        <v>0</v>
      </c>
      <c r="G161" s="421" t="e">
        <f>E161/C161*100</f>
        <v>#DIV/0!</v>
      </c>
    </row>
    <row r="162" spans="1:7" ht="12" thickBot="1">
      <c r="A162" s="79"/>
      <c r="B162" s="79"/>
      <c r="C162" s="333"/>
      <c r="D162" s="286"/>
      <c r="E162" s="333"/>
      <c r="F162" s="286"/>
      <c r="G162" s="313"/>
    </row>
    <row r="163" spans="1:7" ht="12" thickBot="1">
      <c r="A163" s="302">
        <v>47</v>
      </c>
      <c r="B163" s="316" t="s">
        <v>144</v>
      </c>
      <c r="C163" s="427">
        <f>+SUM(C157:C161)</f>
        <v>0</v>
      </c>
      <c r="D163" s="533">
        <f>$C163/$C$178*100</f>
        <v>0</v>
      </c>
      <c r="E163" s="534">
        <f>+SUM(E157:E161)</f>
        <v>0</v>
      </c>
      <c r="F163" s="535">
        <f>$E163/$E$178*100</f>
        <v>0</v>
      </c>
      <c r="G163" s="389" t="e">
        <f>E163/C163*100</f>
        <v>#DIV/0!</v>
      </c>
    </row>
    <row r="164" spans="1:7" ht="12" thickBot="1">
      <c r="A164" s="302"/>
      <c r="B164" s="316"/>
      <c r="C164" s="333"/>
      <c r="D164" s="286"/>
      <c r="E164" s="333"/>
      <c r="F164" s="286"/>
      <c r="G164" s="313"/>
    </row>
    <row r="165" spans="1:7" ht="11.25">
      <c r="A165" s="414" t="s">
        <v>311</v>
      </c>
      <c r="B165" s="312"/>
      <c r="C165" s="320">
        <v>0</v>
      </c>
      <c r="D165" s="360">
        <f aca="true" t="shared" si="18" ref="D165:D171">$C165/$C$178*100</f>
        <v>0</v>
      </c>
      <c r="E165" s="523">
        <v>0</v>
      </c>
      <c r="F165" s="360">
        <f aca="true" t="shared" si="19" ref="F165:F171">$E165/$E$178*100</f>
        <v>0</v>
      </c>
      <c r="G165" s="383" t="e">
        <f aca="true" t="shared" si="20" ref="G165:G171">E165/C165*100</f>
        <v>#DIV/0!</v>
      </c>
    </row>
    <row r="166" spans="1:7" ht="11.25">
      <c r="A166" s="414" t="s">
        <v>312</v>
      </c>
      <c r="B166" s="312"/>
      <c r="C166" s="314"/>
      <c r="D166" s="361">
        <f t="shared" si="18"/>
        <v>0</v>
      </c>
      <c r="E166" s="333"/>
      <c r="F166" s="361">
        <f t="shared" si="19"/>
        <v>0</v>
      </c>
      <c r="G166" s="384" t="e">
        <f t="shared" si="20"/>
        <v>#DIV/0!</v>
      </c>
    </row>
    <row r="167" spans="1:7" ht="11.25">
      <c r="A167" s="414" t="s">
        <v>313</v>
      </c>
      <c r="B167" s="312"/>
      <c r="C167" s="314">
        <v>2000</v>
      </c>
      <c r="D167" s="361">
        <f t="shared" si="18"/>
        <v>0.29205607476635514</v>
      </c>
      <c r="E167" s="333">
        <v>2000</v>
      </c>
      <c r="F167" s="361">
        <f t="shared" si="19"/>
        <v>0.2899391127863149</v>
      </c>
      <c r="G167" s="384">
        <f t="shared" si="20"/>
        <v>100</v>
      </c>
    </row>
    <row r="168" spans="1:7" ht="11.25">
      <c r="A168" s="414" t="s">
        <v>314</v>
      </c>
      <c r="B168" s="79"/>
      <c r="C168" s="314"/>
      <c r="D168" s="361">
        <f t="shared" si="18"/>
        <v>0</v>
      </c>
      <c r="E168" s="333"/>
      <c r="F168" s="361">
        <f t="shared" si="19"/>
        <v>0</v>
      </c>
      <c r="G168" s="384" t="e">
        <f t="shared" si="20"/>
        <v>#DIV/0!</v>
      </c>
    </row>
    <row r="169" spans="1:7" ht="11.25">
      <c r="A169" s="79"/>
      <c r="B169" s="79"/>
      <c r="C169" s="314"/>
      <c r="D169" s="361">
        <f t="shared" si="18"/>
        <v>0</v>
      </c>
      <c r="E169" s="333"/>
      <c r="F169" s="361">
        <f t="shared" si="19"/>
        <v>0</v>
      </c>
      <c r="G169" s="384" t="e">
        <f t="shared" si="20"/>
        <v>#DIV/0!</v>
      </c>
    </row>
    <row r="170" spans="1:7" ht="12" thickBot="1">
      <c r="A170" s="79"/>
      <c r="B170" s="79"/>
      <c r="C170" s="315"/>
      <c r="D170" s="361">
        <f t="shared" si="18"/>
        <v>0</v>
      </c>
      <c r="E170" s="333"/>
      <c r="F170" s="361">
        <f t="shared" si="19"/>
        <v>0</v>
      </c>
      <c r="G170" s="384" t="e">
        <f t="shared" si="20"/>
        <v>#DIV/0!</v>
      </c>
    </row>
    <row r="171" spans="1:7" ht="12" thickBot="1">
      <c r="A171" s="316">
        <v>48</v>
      </c>
      <c r="B171" s="316" t="s">
        <v>122</v>
      </c>
      <c r="C171" s="500">
        <f>+SUM(C165:C170)</f>
        <v>2000</v>
      </c>
      <c r="D171" s="363">
        <f t="shared" si="18"/>
        <v>0.29205607476635514</v>
      </c>
      <c r="E171" s="438">
        <f>+SUM(E165:E170)</f>
        <v>2000</v>
      </c>
      <c r="F171" s="363">
        <f t="shared" si="19"/>
        <v>0.2899391127863149</v>
      </c>
      <c r="G171" s="385">
        <f t="shared" si="20"/>
        <v>100</v>
      </c>
    </row>
    <row r="172" spans="1:7" ht="12" thickBot="1">
      <c r="A172" s="79"/>
      <c r="B172" s="79"/>
      <c r="C172" s="79"/>
      <c r="D172" s="286"/>
      <c r="E172" s="79"/>
      <c r="F172" s="286"/>
      <c r="G172" s="313"/>
    </row>
    <row r="173" spans="1:7" ht="11.25">
      <c r="A173" s="414" t="s">
        <v>315</v>
      </c>
      <c r="B173" s="79"/>
      <c r="C173" s="330"/>
      <c r="D173" s="360">
        <f>$C173/$C$178*100</f>
        <v>0</v>
      </c>
      <c r="E173" s="523"/>
      <c r="F173" s="360">
        <f>$E173/$E$178*100</f>
        <v>0</v>
      </c>
      <c r="G173" s="386" t="e">
        <f>E173/C173*100</f>
        <v>#DIV/0!</v>
      </c>
    </row>
    <row r="174" spans="1:7" ht="12" thickBot="1">
      <c r="A174" s="414" t="s">
        <v>316</v>
      </c>
      <c r="B174" s="79"/>
      <c r="C174" s="531"/>
      <c r="D174" s="362">
        <f>$C174/$C$178*100</f>
        <v>0</v>
      </c>
      <c r="E174" s="532">
        <v>0</v>
      </c>
      <c r="F174" s="362">
        <f>$E174/$E$178*100</f>
        <v>0</v>
      </c>
      <c r="G174" s="388" t="e">
        <f>E174/C174*100</f>
        <v>#DIV/0!</v>
      </c>
    </row>
    <row r="175" spans="1:7" ht="12" thickBot="1">
      <c r="A175" s="79"/>
      <c r="B175" s="79"/>
      <c r="C175" s="531"/>
      <c r="D175" s="429"/>
      <c r="E175" s="532"/>
      <c r="F175" s="429"/>
      <c r="G175" s="388"/>
    </row>
    <row r="176" spans="1:7" ht="12" thickBot="1">
      <c r="A176" s="302">
        <v>71</v>
      </c>
      <c r="B176" s="79"/>
      <c r="C176" s="332">
        <f>+SUM(C173:C174)</f>
        <v>0</v>
      </c>
      <c r="D176" s="363">
        <f>$C176/$C$178*100</f>
        <v>0</v>
      </c>
      <c r="E176" s="522">
        <f>+SUM(E173:E174)</f>
        <v>0</v>
      </c>
      <c r="F176" s="363">
        <f>$E176/$E$178*100</f>
        <v>0</v>
      </c>
      <c r="G176" s="388" t="e">
        <f>E176/C176*100</f>
        <v>#DIV/0!</v>
      </c>
    </row>
    <row r="177" spans="1:7" s="321" customFormat="1" ht="12" thickBot="1">
      <c r="A177" s="416"/>
      <c r="B177" s="416"/>
      <c r="C177" s="329"/>
      <c r="D177" s="336"/>
      <c r="E177" s="329"/>
      <c r="F177" s="336"/>
      <c r="G177" s="313"/>
    </row>
    <row r="178" spans="1:7" ht="12" thickBot="1">
      <c r="A178" s="79"/>
      <c r="B178" s="316" t="s">
        <v>102</v>
      </c>
      <c r="C178" s="317">
        <f>C37+C89+C91+C104+C106+C154+C163+C171+C176</f>
        <v>684800</v>
      </c>
      <c r="D178" s="525">
        <f>$C178/$C$178*100</f>
        <v>100</v>
      </c>
      <c r="E178" s="317">
        <f>+SUM(E171,E154,E106,E104,E91,E89,E37,E173,E174,E163)</f>
        <v>689800</v>
      </c>
      <c r="F178" s="525">
        <f>$E178/$E$178*100</f>
        <v>100</v>
      </c>
      <c r="G178" s="389">
        <f>E178/C178*100</f>
        <v>100.73014018691589</v>
      </c>
    </row>
    <row r="179" spans="1:7" ht="11.25">
      <c r="A179" s="79"/>
      <c r="B179" s="302"/>
      <c r="C179" s="181"/>
      <c r="D179" s="305"/>
      <c r="E179" s="181"/>
      <c r="F179" s="187"/>
      <c r="G179" s="337"/>
    </row>
    <row r="180" ht="11.25">
      <c r="A180" s="79"/>
    </row>
    <row r="182" ht="11.25">
      <c r="C182" s="122"/>
    </row>
    <row r="183" ht="11.25">
      <c r="C183" s="122"/>
    </row>
    <row r="184" ht="11.25">
      <c r="C184" s="122"/>
    </row>
    <row r="185" ht="11.25">
      <c r="C185" s="122"/>
    </row>
    <row r="189" ht="11.25">
      <c r="E189" s="169" t="e">
        <f>E178+'PJ-PiJP-rashod-ok'!#REF!+'PJ-GiPU-rashod-ok'!#REF!+'PJ PARKING RASHOD'!#REF!+'PJ-ZS-rashod-ok'!#REF!</f>
        <v>#REF!</v>
      </c>
    </row>
    <row r="200" ht="11.25">
      <c r="C200" s="122"/>
    </row>
    <row r="223" spans="6:7" ht="11.25">
      <c r="F223" s="182"/>
      <c r="G223" s="338"/>
    </row>
    <row r="224" spans="2:7" ht="11.25">
      <c r="B224" s="339"/>
      <c r="C224" s="20"/>
      <c r="F224" s="182"/>
      <c r="G224" s="338"/>
    </row>
    <row r="225" spans="2:7" ht="11.25">
      <c r="B225" s="339"/>
      <c r="F225" s="182"/>
      <c r="G225" s="169"/>
    </row>
    <row r="226" spans="3:7" ht="11.25">
      <c r="C226" s="324"/>
      <c r="D226" s="340"/>
      <c r="F226" s="182"/>
      <c r="G226" s="169"/>
    </row>
    <row r="227" spans="6:7" ht="11.25">
      <c r="F227" s="182"/>
      <c r="G227" s="169"/>
    </row>
    <row r="228" spans="3:7" ht="11.25">
      <c r="C228" s="324"/>
      <c r="D228" s="341"/>
      <c r="F228" s="182"/>
      <c r="G228" s="169"/>
    </row>
    <row r="229" spans="1:2" ht="11.25">
      <c r="A229" s="342"/>
      <c r="B229" s="343"/>
    </row>
    <row r="230" ht="11.25">
      <c r="C230" s="324"/>
    </row>
    <row r="231" spans="2:7" ht="11.25">
      <c r="B231" s="20"/>
      <c r="C231" s="344"/>
      <c r="D231" s="20"/>
      <c r="E231" s="20"/>
      <c r="F231" s="20"/>
      <c r="G231" s="20"/>
    </row>
    <row r="257" ht="11.25">
      <c r="G257" s="182"/>
    </row>
    <row r="258" ht="11.25">
      <c r="G258" s="182"/>
    </row>
    <row r="259" ht="11.25">
      <c r="G259" s="182"/>
    </row>
    <row r="260" ht="11.25">
      <c r="G260" s="182"/>
    </row>
    <row r="261" ht="11.25">
      <c r="G261" s="182"/>
    </row>
    <row r="262" ht="11.25">
      <c r="G262" s="182"/>
    </row>
    <row r="263" ht="11.25">
      <c r="G263" s="182"/>
    </row>
    <row r="264" ht="11.25">
      <c r="G264" s="182"/>
    </row>
    <row r="265" ht="11.25">
      <c r="G265" s="182"/>
    </row>
    <row r="266" ht="11.25">
      <c r="G266" s="182"/>
    </row>
    <row r="267" ht="11.25">
      <c r="G267" s="182"/>
    </row>
    <row r="268" ht="11.25">
      <c r="G268" s="182"/>
    </row>
    <row r="269" ht="11.25">
      <c r="G269" s="182"/>
    </row>
    <row r="270" ht="11.25">
      <c r="G270" s="182"/>
    </row>
    <row r="271" ht="11.25">
      <c r="G271" s="182"/>
    </row>
    <row r="272" ht="11.25">
      <c r="G272" s="182"/>
    </row>
    <row r="273" ht="11.25">
      <c r="G273" s="182"/>
    </row>
    <row r="274" ht="11.25">
      <c r="G274" s="182"/>
    </row>
    <row r="275" ht="11.25">
      <c r="G275" s="182"/>
    </row>
    <row r="276" ht="11.25">
      <c r="G276" s="182"/>
    </row>
    <row r="277" ht="11.25">
      <c r="G277" s="182"/>
    </row>
    <row r="278" ht="11.25">
      <c r="G278" s="182"/>
    </row>
    <row r="279" ht="11.25">
      <c r="G279" s="182"/>
    </row>
    <row r="280" ht="11.25">
      <c r="G280" s="182"/>
    </row>
    <row r="281" ht="11.25">
      <c r="G281" s="182"/>
    </row>
    <row r="282" ht="11.25">
      <c r="G282" s="182"/>
    </row>
    <row r="283" ht="11.25">
      <c r="G283" s="182"/>
    </row>
    <row r="284" ht="11.25">
      <c r="G284" s="182"/>
    </row>
    <row r="285" ht="11.25">
      <c r="G285" s="182"/>
    </row>
    <row r="286" ht="11.25">
      <c r="G286" s="182"/>
    </row>
    <row r="287" ht="11.25">
      <c r="G287" s="182"/>
    </row>
    <row r="288" ht="11.25">
      <c r="G288" s="182"/>
    </row>
    <row r="289" ht="11.25">
      <c r="G289" s="182"/>
    </row>
    <row r="290" ht="11.25">
      <c r="G290" s="182"/>
    </row>
    <row r="291" ht="11.25">
      <c r="G291" s="182"/>
    </row>
    <row r="292" ht="11.25">
      <c r="G292" s="182"/>
    </row>
    <row r="293" ht="11.25">
      <c r="G293" s="182"/>
    </row>
    <row r="294" ht="11.25">
      <c r="G294" s="182"/>
    </row>
    <row r="295" ht="11.25">
      <c r="G295" s="182"/>
    </row>
    <row r="296" ht="11.25">
      <c r="G296" s="182"/>
    </row>
    <row r="297" ht="11.25">
      <c r="G297" s="182"/>
    </row>
    <row r="298" ht="11.25">
      <c r="G298" s="182"/>
    </row>
    <row r="299" ht="11.25">
      <c r="G299" s="182"/>
    </row>
    <row r="300" ht="11.25">
      <c r="G300" s="182"/>
    </row>
    <row r="301" ht="11.25">
      <c r="G301" s="182"/>
    </row>
    <row r="302" ht="11.25">
      <c r="G302" s="182"/>
    </row>
    <row r="303" ht="11.25">
      <c r="G303" s="182"/>
    </row>
    <row r="304" ht="11.25">
      <c r="G304" s="182"/>
    </row>
    <row r="305" ht="11.25">
      <c r="G305" s="182"/>
    </row>
    <row r="306" ht="11.25">
      <c r="G306" s="182"/>
    </row>
    <row r="307" ht="11.25">
      <c r="G307" s="182"/>
    </row>
    <row r="308" ht="11.25">
      <c r="G308" s="182"/>
    </row>
    <row r="309" ht="11.25">
      <c r="G309" s="182"/>
    </row>
    <row r="310" ht="11.25">
      <c r="G310" s="182"/>
    </row>
    <row r="311" ht="11.25">
      <c r="G311" s="182"/>
    </row>
    <row r="312" ht="11.25">
      <c r="G312" s="182"/>
    </row>
    <row r="313" ht="11.25">
      <c r="G313" s="182"/>
    </row>
    <row r="314" ht="11.25">
      <c r="G314" s="182"/>
    </row>
    <row r="315" ht="11.25">
      <c r="G315" s="182"/>
    </row>
    <row r="316" ht="11.25">
      <c r="G316" s="182"/>
    </row>
    <row r="317" ht="11.25">
      <c r="G317" s="182"/>
    </row>
    <row r="318" ht="11.25">
      <c r="G318" s="182"/>
    </row>
    <row r="319" ht="11.25">
      <c r="G319" s="182"/>
    </row>
    <row r="320" ht="11.25">
      <c r="G320" s="182"/>
    </row>
    <row r="321" ht="11.25">
      <c r="G321" s="182"/>
    </row>
    <row r="322" ht="11.25">
      <c r="G322" s="182"/>
    </row>
    <row r="323" ht="11.25">
      <c r="G323" s="182"/>
    </row>
    <row r="324" ht="11.25">
      <c r="G324" s="182"/>
    </row>
    <row r="325" ht="11.25">
      <c r="G325" s="182"/>
    </row>
    <row r="326" ht="11.25">
      <c r="G326" s="182"/>
    </row>
    <row r="327" ht="11.25">
      <c r="G327" s="182"/>
    </row>
    <row r="328" ht="11.25">
      <c r="G328" s="182"/>
    </row>
    <row r="329" ht="11.25">
      <c r="G329" s="182"/>
    </row>
    <row r="330" ht="11.25">
      <c r="G330" s="182"/>
    </row>
    <row r="331" ht="11.25">
      <c r="G331" s="182"/>
    </row>
    <row r="332" ht="11.25">
      <c r="G332" s="182"/>
    </row>
    <row r="333" ht="11.25">
      <c r="G333" s="182"/>
    </row>
    <row r="334" ht="11.25">
      <c r="G334" s="182"/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  <row r="349" ht="11.25">
      <c r="G349" s="182"/>
    </row>
    <row r="350" ht="11.25">
      <c r="G350" s="182"/>
    </row>
    <row r="351" ht="11.25">
      <c r="G351" s="182"/>
    </row>
    <row r="352" ht="11.25">
      <c r="G352" s="182"/>
    </row>
    <row r="353" ht="11.25">
      <c r="G353" s="182"/>
    </row>
    <row r="354" ht="11.25">
      <c r="G354" s="182"/>
    </row>
    <row r="355" ht="11.25">
      <c r="G355" s="182"/>
    </row>
    <row r="356" ht="11.25">
      <c r="G356" s="182"/>
    </row>
    <row r="357" ht="11.25">
      <c r="G357" s="182"/>
    </row>
    <row r="358" ht="11.25">
      <c r="G358" s="182"/>
    </row>
    <row r="359" ht="11.25">
      <c r="G359" s="182"/>
    </row>
    <row r="360" ht="11.25">
      <c r="G360" s="182"/>
    </row>
    <row r="361" ht="11.25">
      <c r="G361" s="182"/>
    </row>
    <row r="362" ht="11.25">
      <c r="G362" s="182"/>
    </row>
    <row r="363" ht="11.25">
      <c r="G363" s="182"/>
    </row>
    <row r="364" ht="11.25">
      <c r="G364" s="182"/>
    </row>
    <row r="365" ht="11.25">
      <c r="G365" s="182"/>
    </row>
    <row r="366" ht="11.25">
      <c r="G366" s="182"/>
    </row>
    <row r="367" ht="11.25">
      <c r="G367" s="182"/>
    </row>
    <row r="368" ht="11.25">
      <c r="G368" s="182"/>
    </row>
    <row r="369" ht="11.25">
      <c r="G369" s="182"/>
    </row>
    <row r="370" ht="11.25">
      <c r="G370" s="182"/>
    </row>
    <row r="371" ht="11.25">
      <c r="G371" s="182"/>
    </row>
  </sheetData>
  <sheetProtection/>
  <hyperlinks>
    <hyperlink ref="B6" r:id="rId1" display="www.ivanj.net"/>
    <hyperlink ref="B63" r:id="rId2" display="www.ivanj.net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I371"/>
  <sheetViews>
    <sheetView zoomScalePageLayoutView="0" workbookViewId="0" topLeftCell="A1">
      <selection activeCell="B121" sqref="B121"/>
    </sheetView>
  </sheetViews>
  <sheetFormatPr defaultColWidth="8.8515625" defaultRowHeight="12.75"/>
  <cols>
    <col min="1" max="1" width="7.7109375" style="161" customWidth="1"/>
    <col min="2" max="2" width="36.28125" style="161" customWidth="1"/>
    <col min="3" max="3" width="14.57421875" style="161" customWidth="1"/>
    <col min="4" max="4" width="7.00390625" style="161" bestFit="1" customWidth="1"/>
    <col min="5" max="5" width="13.140625" style="161" bestFit="1" customWidth="1"/>
    <col min="6" max="6" width="7.00390625" style="161" bestFit="1" customWidth="1"/>
    <col min="7" max="7" width="8.7109375" style="161" customWidth="1"/>
    <col min="8" max="16384" width="8.8515625" style="161" customWidth="1"/>
  </cols>
  <sheetData>
    <row r="1" spans="1:7" ht="13.5">
      <c r="A1" s="34"/>
      <c r="B1" s="35" t="s">
        <v>166</v>
      </c>
      <c r="C1" s="34"/>
      <c r="D1" s="34"/>
      <c r="E1" s="34"/>
      <c r="F1"/>
      <c r="G1" s="304" t="s">
        <v>354</v>
      </c>
    </row>
    <row r="2" spans="1:6" ht="13.5">
      <c r="A2" s="34"/>
      <c r="B2" s="37" t="s">
        <v>33</v>
      </c>
      <c r="C2" s="34" t="s">
        <v>218</v>
      </c>
      <c r="D2" s="34"/>
      <c r="E2" s="34"/>
      <c r="F2" s="45"/>
    </row>
    <row r="3" spans="1:6" ht="13.5">
      <c r="A3" s="162"/>
      <c r="B3" s="37" t="s">
        <v>34</v>
      </c>
      <c r="C3" s="34" t="s">
        <v>219</v>
      </c>
      <c r="D3" s="34"/>
      <c r="E3" s="34"/>
      <c r="F3" s="45"/>
    </row>
    <row r="4" spans="1:6" ht="18">
      <c r="A4" s="34"/>
      <c r="B4" s="38" t="s">
        <v>35</v>
      </c>
      <c r="C4" s="34" t="s">
        <v>220</v>
      </c>
      <c r="D4" s="34"/>
      <c r="E4" s="34"/>
      <c r="F4" s="51"/>
    </row>
    <row r="5" spans="1:6" ht="13.5">
      <c r="A5" s="34"/>
      <c r="B5" s="34"/>
      <c r="C5" s="34" t="s">
        <v>378</v>
      </c>
      <c r="D5" s="34"/>
      <c r="E5" s="34"/>
      <c r="F5" s="48"/>
    </row>
    <row r="6" spans="1:7" ht="12.75">
      <c r="A6" s="149"/>
      <c r="B6" s="124" t="s">
        <v>79</v>
      </c>
      <c r="C6" s="45"/>
      <c r="D6" s="45"/>
      <c r="E6" s="45"/>
      <c r="F6" s="48"/>
      <c r="G6" s="306"/>
    </row>
    <row r="7" spans="1:7" ht="12.75">
      <c r="A7" s="303"/>
      <c r="B7" s="307" t="s">
        <v>374</v>
      </c>
      <c r="C7" s="79"/>
      <c r="D7" s="79"/>
      <c r="E7" s="79"/>
      <c r="F7" s="306"/>
      <c r="G7" s="306"/>
    </row>
    <row r="8" spans="2:6" ht="12.75">
      <c r="B8" s="79"/>
      <c r="C8" s="79"/>
      <c r="D8" s="79"/>
      <c r="E8" s="79"/>
      <c r="F8" s="303"/>
    </row>
    <row r="9" spans="1:6" ht="12.75">
      <c r="A9" s="303"/>
      <c r="B9" s="302" t="s">
        <v>151</v>
      </c>
      <c r="C9" s="79"/>
      <c r="D9" s="79"/>
      <c r="E9" s="79"/>
      <c r="F9" s="303"/>
    </row>
    <row r="10" spans="2:5" ht="11.25">
      <c r="B10" s="455" t="s">
        <v>323</v>
      </c>
      <c r="C10" s="79"/>
      <c r="D10" s="79"/>
      <c r="E10" s="79"/>
    </row>
    <row r="11" spans="1:7" ht="11.25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</row>
    <row r="12" ht="12" thickBot="1">
      <c r="D12" s="122"/>
    </row>
    <row r="13" spans="1:7" ht="13.5">
      <c r="A13" s="302"/>
      <c r="B13" s="309" t="s">
        <v>7</v>
      </c>
      <c r="C13" s="310" t="s">
        <v>365</v>
      </c>
      <c r="D13" s="494" t="s">
        <v>28</v>
      </c>
      <c r="E13" s="310" t="s">
        <v>380</v>
      </c>
      <c r="F13" s="557" t="s">
        <v>28</v>
      </c>
      <c r="G13" s="393" t="s">
        <v>13</v>
      </c>
    </row>
    <row r="14" spans="3:7" ht="12" thickBot="1">
      <c r="C14" s="204" t="s">
        <v>16</v>
      </c>
      <c r="D14" s="496" t="s">
        <v>15</v>
      </c>
      <c r="E14" s="204" t="s">
        <v>16</v>
      </c>
      <c r="F14" s="558" t="s">
        <v>15</v>
      </c>
      <c r="G14" s="426" t="s">
        <v>40</v>
      </c>
    </row>
    <row r="15" spans="1:7" ht="12" thickBot="1">
      <c r="A15" s="79"/>
      <c r="B15" s="79"/>
      <c r="C15" s="175"/>
      <c r="D15" s="79"/>
      <c r="E15" s="175"/>
      <c r="F15" s="79"/>
      <c r="G15" s="148"/>
    </row>
    <row r="16" spans="1:7" ht="11.25">
      <c r="A16" s="79" t="s">
        <v>222</v>
      </c>
      <c r="B16" s="79"/>
      <c r="C16" s="413"/>
      <c r="D16" s="360">
        <f>$C16/$C$178*100</f>
        <v>0</v>
      </c>
      <c r="E16" s="413"/>
      <c r="F16" s="434">
        <f>$E16/$E$178*100</f>
        <v>0</v>
      </c>
      <c r="G16" s="386" t="e">
        <f>E16/C16*100</f>
        <v>#DIV/0!</v>
      </c>
    </row>
    <row r="17" spans="1:7" ht="11.25">
      <c r="A17" s="79" t="s">
        <v>388</v>
      </c>
      <c r="B17" s="79"/>
      <c r="C17" s="582"/>
      <c r="D17" s="361"/>
      <c r="E17" s="582"/>
      <c r="F17" s="336"/>
      <c r="G17" s="387"/>
    </row>
    <row r="18" spans="1:8" ht="13.5">
      <c r="A18" s="79" t="s">
        <v>223</v>
      </c>
      <c r="B18" s="79"/>
      <c r="C18" s="319">
        <v>5000</v>
      </c>
      <c r="D18" s="361">
        <f aca="true" t="shared" si="0" ref="D18:D36">$C18/$C$178*100</f>
        <v>0.15461993958083609</v>
      </c>
      <c r="E18" s="319">
        <v>5000</v>
      </c>
      <c r="F18" s="336">
        <f aca="true" t="shared" si="1" ref="F18:F37">$E18/$E$178*100</f>
        <v>0.1528708106982645</v>
      </c>
      <c r="G18" s="387">
        <f aca="true" t="shared" si="2" ref="G18:G37">E18/C18*100</f>
        <v>100</v>
      </c>
      <c r="H18" s="60"/>
    </row>
    <row r="19" spans="1:8" ht="13.5">
      <c r="A19" s="79" t="s">
        <v>224</v>
      </c>
      <c r="B19" s="79"/>
      <c r="C19" s="319"/>
      <c r="D19" s="361">
        <f t="shared" si="0"/>
        <v>0</v>
      </c>
      <c r="E19" s="319"/>
      <c r="F19" s="336">
        <f t="shared" si="1"/>
        <v>0</v>
      </c>
      <c r="G19" s="387" t="e">
        <f t="shared" si="2"/>
        <v>#DIV/0!</v>
      </c>
      <c r="H19" s="60"/>
    </row>
    <row r="20" spans="1:8" ht="13.5">
      <c r="A20" s="79" t="s">
        <v>240</v>
      </c>
      <c r="B20" s="79"/>
      <c r="C20" s="319"/>
      <c r="D20" s="361">
        <f t="shared" si="0"/>
        <v>0</v>
      </c>
      <c r="E20" s="319"/>
      <c r="F20" s="336">
        <f t="shared" si="1"/>
        <v>0</v>
      </c>
      <c r="G20" s="387" t="e">
        <f t="shared" si="2"/>
        <v>#DIV/0!</v>
      </c>
      <c r="H20" s="60"/>
    </row>
    <row r="21" spans="1:8" ht="13.5">
      <c r="A21" s="79" t="s">
        <v>225</v>
      </c>
      <c r="B21" s="79"/>
      <c r="C21" s="319">
        <v>3000</v>
      </c>
      <c r="D21" s="361">
        <f t="shared" si="0"/>
        <v>0.09277196374850166</v>
      </c>
      <c r="E21" s="319">
        <v>3000</v>
      </c>
      <c r="F21" s="336">
        <f t="shared" si="1"/>
        <v>0.09172248641895869</v>
      </c>
      <c r="G21" s="387">
        <f t="shared" si="2"/>
        <v>100</v>
      </c>
      <c r="H21" s="60"/>
    </row>
    <row r="22" spans="1:8" ht="13.5">
      <c r="A22" s="79" t="s">
        <v>226</v>
      </c>
      <c r="B22" s="79"/>
      <c r="C22" s="319">
        <v>2000</v>
      </c>
      <c r="D22" s="361">
        <f t="shared" si="0"/>
        <v>0.061847975832334444</v>
      </c>
      <c r="E22" s="319">
        <v>2000</v>
      </c>
      <c r="F22" s="336">
        <f t="shared" si="1"/>
        <v>0.06114832427930579</v>
      </c>
      <c r="G22" s="387">
        <f t="shared" si="2"/>
        <v>100</v>
      </c>
      <c r="H22" s="60"/>
    </row>
    <row r="23" spans="1:8" ht="13.5">
      <c r="A23" s="79" t="s">
        <v>227</v>
      </c>
      <c r="B23" s="79"/>
      <c r="C23" s="319"/>
      <c r="D23" s="361">
        <f t="shared" si="0"/>
        <v>0</v>
      </c>
      <c r="E23" s="319"/>
      <c r="F23" s="336">
        <f t="shared" si="1"/>
        <v>0</v>
      </c>
      <c r="G23" s="387" t="e">
        <f t="shared" si="2"/>
        <v>#DIV/0!</v>
      </c>
      <c r="H23" s="60"/>
    </row>
    <row r="24" spans="1:8" ht="13.5">
      <c r="A24" s="79" t="s">
        <v>228</v>
      </c>
      <c r="B24" s="79"/>
      <c r="C24" s="319"/>
      <c r="D24" s="361">
        <f t="shared" si="0"/>
        <v>0</v>
      </c>
      <c r="E24" s="319"/>
      <c r="F24" s="336">
        <f t="shared" si="1"/>
        <v>0</v>
      </c>
      <c r="G24" s="387" t="e">
        <f t="shared" si="2"/>
        <v>#DIV/0!</v>
      </c>
      <c r="H24" s="60"/>
    </row>
    <row r="25" spans="1:8" ht="13.5">
      <c r="A25" s="79" t="s">
        <v>229</v>
      </c>
      <c r="B25" s="79"/>
      <c r="C25" s="319"/>
      <c r="D25" s="361">
        <f t="shared" si="0"/>
        <v>0</v>
      </c>
      <c r="E25" s="319"/>
      <c r="F25" s="336">
        <f t="shared" si="1"/>
        <v>0</v>
      </c>
      <c r="G25" s="387" t="e">
        <f t="shared" si="2"/>
        <v>#DIV/0!</v>
      </c>
      <c r="H25" s="60"/>
    </row>
    <row r="26" spans="1:8" ht="13.5">
      <c r="A26" s="79" t="s">
        <v>230</v>
      </c>
      <c r="B26" s="79"/>
      <c r="C26" s="319">
        <v>65000</v>
      </c>
      <c r="D26" s="361">
        <f t="shared" si="0"/>
        <v>2.010059214550869</v>
      </c>
      <c r="E26" s="319">
        <v>65000</v>
      </c>
      <c r="F26" s="336">
        <f t="shared" si="1"/>
        <v>1.9873205390774382</v>
      </c>
      <c r="G26" s="387">
        <f t="shared" si="2"/>
        <v>100</v>
      </c>
      <c r="H26" s="60"/>
    </row>
    <row r="27" spans="1:8" ht="13.5">
      <c r="A27" s="79" t="s">
        <v>231</v>
      </c>
      <c r="B27" s="79"/>
      <c r="C27" s="319">
        <v>10000</v>
      </c>
      <c r="D27" s="361">
        <f t="shared" si="0"/>
        <v>0.30923987916167217</v>
      </c>
      <c r="E27" s="319">
        <v>10000</v>
      </c>
      <c r="F27" s="336">
        <f t="shared" si="1"/>
        <v>0.305741621396529</v>
      </c>
      <c r="G27" s="387">
        <f t="shared" si="2"/>
        <v>100</v>
      </c>
      <c r="H27" s="60"/>
    </row>
    <row r="28" spans="1:8" ht="13.5">
      <c r="A28" s="79" t="s">
        <v>372</v>
      </c>
      <c r="B28" s="79"/>
      <c r="C28" s="319"/>
      <c r="D28" s="361">
        <f t="shared" si="0"/>
        <v>0</v>
      </c>
      <c r="E28" s="319"/>
      <c r="F28" s="336">
        <f t="shared" si="1"/>
        <v>0</v>
      </c>
      <c r="G28" s="387" t="e">
        <f t="shared" si="2"/>
        <v>#DIV/0!</v>
      </c>
      <c r="H28" s="60"/>
    </row>
    <row r="29" spans="1:8" ht="13.5">
      <c r="A29" s="79" t="s">
        <v>232</v>
      </c>
      <c r="B29" s="79"/>
      <c r="C29" s="319">
        <v>12000</v>
      </c>
      <c r="D29" s="361">
        <f t="shared" si="0"/>
        <v>0.37108785499400665</v>
      </c>
      <c r="E29" s="319">
        <v>12000</v>
      </c>
      <c r="F29" s="336">
        <f t="shared" si="1"/>
        <v>0.36688994567583477</v>
      </c>
      <c r="G29" s="387">
        <f t="shared" si="2"/>
        <v>100</v>
      </c>
      <c r="H29" s="60"/>
    </row>
    <row r="30" spans="1:8" ht="13.5">
      <c r="A30" s="79" t="s">
        <v>233</v>
      </c>
      <c r="B30" s="79"/>
      <c r="C30" s="314"/>
      <c r="D30" s="361">
        <f t="shared" si="0"/>
        <v>0</v>
      </c>
      <c r="E30" s="314"/>
      <c r="F30" s="336">
        <f t="shared" si="1"/>
        <v>0</v>
      </c>
      <c r="G30" s="387" t="e">
        <f t="shared" si="2"/>
        <v>#DIV/0!</v>
      </c>
      <c r="H30" s="60"/>
    </row>
    <row r="31" spans="1:8" ht="14.25" thickBot="1">
      <c r="A31" s="79" t="s">
        <v>234</v>
      </c>
      <c r="B31" s="79"/>
      <c r="C31" s="314"/>
      <c r="D31" s="361">
        <f t="shared" si="0"/>
        <v>0</v>
      </c>
      <c r="E31" s="314"/>
      <c r="F31" s="336">
        <f t="shared" si="1"/>
        <v>0</v>
      </c>
      <c r="G31" s="387" t="e">
        <f t="shared" si="2"/>
        <v>#DIV/0!</v>
      </c>
      <c r="H31" s="60"/>
    </row>
    <row r="32" spans="1:9" ht="14.25" thickBot="1">
      <c r="A32" s="79" t="s">
        <v>235</v>
      </c>
      <c r="B32" s="79"/>
      <c r="C32" s="314">
        <v>15000</v>
      </c>
      <c r="D32" s="361">
        <f t="shared" si="0"/>
        <v>0.4638598187425083</v>
      </c>
      <c r="E32" s="314">
        <v>15000</v>
      </c>
      <c r="F32" s="336">
        <f t="shared" si="1"/>
        <v>0.45861243209479347</v>
      </c>
      <c r="G32" s="387">
        <f t="shared" si="2"/>
        <v>100</v>
      </c>
      <c r="H32" s="60"/>
      <c r="I32" s="317"/>
    </row>
    <row r="33" spans="1:8" ht="13.5">
      <c r="A33" s="79" t="s">
        <v>236</v>
      </c>
      <c r="B33" s="79"/>
      <c r="C33" s="314">
        <v>7000</v>
      </c>
      <c r="D33" s="361">
        <f t="shared" si="0"/>
        <v>0.21646791541317054</v>
      </c>
      <c r="E33" s="314">
        <v>7000</v>
      </c>
      <c r="F33" s="336">
        <f t="shared" si="1"/>
        <v>0.21401913497757027</v>
      </c>
      <c r="G33" s="387">
        <f t="shared" si="2"/>
        <v>100</v>
      </c>
      <c r="H33" s="60"/>
    </row>
    <row r="34" spans="1:8" ht="13.5">
      <c r="A34" s="79" t="s">
        <v>237</v>
      </c>
      <c r="B34" s="79"/>
      <c r="C34" s="314">
        <v>10000</v>
      </c>
      <c r="D34" s="361">
        <f t="shared" si="0"/>
        <v>0.30923987916167217</v>
      </c>
      <c r="E34" s="314">
        <v>10000</v>
      </c>
      <c r="F34" s="336">
        <f t="shared" si="1"/>
        <v>0.305741621396529</v>
      </c>
      <c r="G34" s="387">
        <f t="shared" si="2"/>
        <v>100</v>
      </c>
      <c r="H34" s="60"/>
    </row>
    <row r="35" spans="1:8" ht="13.5">
      <c r="A35" s="79" t="s">
        <v>238</v>
      </c>
      <c r="B35" s="79"/>
      <c r="C35" s="314"/>
      <c r="D35" s="361">
        <f t="shared" si="0"/>
        <v>0</v>
      </c>
      <c r="E35" s="314"/>
      <c r="F35" s="336">
        <f t="shared" si="1"/>
        <v>0</v>
      </c>
      <c r="G35" s="387" t="e">
        <f t="shared" si="2"/>
        <v>#DIV/0!</v>
      </c>
      <c r="H35" s="60"/>
    </row>
    <row r="36" spans="1:7" ht="12" thickBot="1">
      <c r="A36" s="79" t="s">
        <v>239</v>
      </c>
      <c r="B36" s="79"/>
      <c r="C36" s="315"/>
      <c r="D36" s="362">
        <f t="shared" si="0"/>
        <v>0</v>
      </c>
      <c r="E36" s="315"/>
      <c r="F36" s="432">
        <f t="shared" si="1"/>
        <v>0</v>
      </c>
      <c r="G36" s="388" t="e">
        <f t="shared" si="2"/>
        <v>#DIV/0!</v>
      </c>
    </row>
    <row r="37" spans="1:7" ht="12" thickBot="1">
      <c r="A37" s="302">
        <v>40</v>
      </c>
      <c r="B37" s="316" t="s">
        <v>12</v>
      </c>
      <c r="C37" s="500">
        <f>+SUM(C16:C36)</f>
        <v>129000</v>
      </c>
      <c r="D37" s="363">
        <f>$C37/$C$178*100</f>
        <v>3.9891944411855715</v>
      </c>
      <c r="E37" s="317">
        <f>+SUM(E16:E36)</f>
        <v>129000</v>
      </c>
      <c r="F37" s="525">
        <f t="shared" si="1"/>
        <v>3.9440669160152235</v>
      </c>
      <c r="G37" s="389">
        <f t="shared" si="2"/>
        <v>100</v>
      </c>
    </row>
    <row r="38" spans="1:7" ht="12" thickBot="1">
      <c r="A38" s="302"/>
      <c r="B38" s="302"/>
      <c r="C38" s="318"/>
      <c r="D38" s="187"/>
      <c r="E38" s="318"/>
      <c r="F38" s="187"/>
      <c r="G38" s="313"/>
    </row>
    <row r="39" spans="1:8" ht="13.5">
      <c r="A39" s="79" t="s">
        <v>241</v>
      </c>
      <c r="B39" s="312"/>
      <c r="C39" s="566">
        <v>10000</v>
      </c>
      <c r="D39" s="360">
        <f aca="true" t="shared" si="3" ref="D39:D57">$C39/$C$178*100</f>
        <v>0.30923987916167217</v>
      </c>
      <c r="E39" s="536">
        <v>10000</v>
      </c>
      <c r="F39" s="360">
        <f aca="true" t="shared" si="4" ref="F39:F57">$E39/$E$178*100</f>
        <v>0.305741621396529</v>
      </c>
      <c r="G39" s="383">
        <f aca="true" t="shared" si="5" ref="G39:G57">E39/C39*100</f>
        <v>100</v>
      </c>
      <c r="H39" s="60">
        <v>4101</v>
      </c>
    </row>
    <row r="40" spans="1:8" ht="13.5">
      <c r="A40" s="79" t="s">
        <v>242</v>
      </c>
      <c r="B40" s="312"/>
      <c r="C40" s="314">
        <v>35000</v>
      </c>
      <c r="D40" s="361">
        <f t="shared" si="3"/>
        <v>1.0823395770658528</v>
      </c>
      <c r="E40" s="333">
        <v>35000</v>
      </c>
      <c r="F40" s="361">
        <f t="shared" si="4"/>
        <v>1.0700956748878514</v>
      </c>
      <c r="G40" s="384">
        <f t="shared" si="5"/>
        <v>100</v>
      </c>
      <c r="H40" s="60">
        <v>4105</v>
      </c>
    </row>
    <row r="41" spans="1:8" ht="13.5">
      <c r="A41" s="79" t="s">
        <v>243</v>
      </c>
      <c r="B41" s="312"/>
      <c r="C41" s="314"/>
      <c r="D41" s="361">
        <f t="shared" si="3"/>
        <v>0</v>
      </c>
      <c r="E41" s="333"/>
      <c r="F41" s="361">
        <f t="shared" si="4"/>
        <v>0</v>
      </c>
      <c r="G41" s="384" t="e">
        <f t="shared" si="5"/>
        <v>#DIV/0!</v>
      </c>
      <c r="H41" s="60">
        <v>41051</v>
      </c>
    </row>
    <row r="42" spans="1:8" ht="13.5">
      <c r="A42" s="79" t="s">
        <v>244</v>
      </c>
      <c r="B42" s="312"/>
      <c r="C42" s="314">
        <v>70000</v>
      </c>
      <c r="D42" s="361">
        <f t="shared" si="3"/>
        <v>2.1646791541317056</v>
      </c>
      <c r="E42" s="333">
        <v>70000</v>
      </c>
      <c r="F42" s="361">
        <f t="shared" si="4"/>
        <v>2.140191349775703</v>
      </c>
      <c r="G42" s="384">
        <f t="shared" si="5"/>
        <v>100</v>
      </c>
      <c r="H42" s="60">
        <v>4120</v>
      </c>
    </row>
    <row r="43" spans="1:8" ht="13.5">
      <c r="A43" s="79" t="s">
        <v>245</v>
      </c>
      <c r="B43" s="312"/>
      <c r="C43" s="314"/>
      <c r="D43" s="361">
        <f t="shared" si="3"/>
        <v>0</v>
      </c>
      <c r="E43" s="333"/>
      <c r="F43" s="361">
        <f t="shared" si="4"/>
        <v>0</v>
      </c>
      <c r="G43" s="384" t="e">
        <f t="shared" si="5"/>
        <v>#DIV/0!</v>
      </c>
      <c r="H43" s="60">
        <v>4121</v>
      </c>
    </row>
    <row r="44" spans="1:8" ht="13.5">
      <c r="A44" s="79" t="s">
        <v>246</v>
      </c>
      <c r="B44" s="312"/>
      <c r="C44" s="314"/>
      <c r="D44" s="361">
        <f t="shared" si="3"/>
        <v>0</v>
      </c>
      <c r="E44" s="333"/>
      <c r="F44" s="361">
        <f t="shared" si="4"/>
        <v>0</v>
      </c>
      <c r="G44" s="384" t="e">
        <f t="shared" si="5"/>
        <v>#DIV/0!</v>
      </c>
      <c r="H44" s="60">
        <v>4128</v>
      </c>
    </row>
    <row r="45" spans="1:8" ht="13.5">
      <c r="A45" s="79" t="s">
        <v>247</v>
      </c>
      <c r="B45" s="312"/>
      <c r="C45" s="314">
        <v>100000</v>
      </c>
      <c r="D45" s="361">
        <f t="shared" si="3"/>
        <v>3.092398791616722</v>
      </c>
      <c r="E45" s="333">
        <v>100000</v>
      </c>
      <c r="F45" s="361">
        <f t="shared" si="4"/>
        <v>3.05741621396529</v>
      </c>
      <c r="G45" s="384">
        <f t="shared" si="5"/>
        <v>100</v>
      </c>
      <c r="H45" s="60">
        <v>4137</v>
      </c>
    </row>
    <row r="46" spans="1:8" ht="13.5">
      <c r="A46" s="79" t="s">
        <v>248</v>
      </c>
      <c r="B46" s="312"/>
      <c r="C46" s="314"/>
      <c r="D46" s="361">
        <f t="shared" si="3"/>
        <v>0</v>
      </c>
      <c r="E46" s="333"/>
      <c r="F46" s="361">
        <f t="shared" si="4"/>
        <v>0</v>
      </c>
      <c r="G46" s="384" t="e">
        <f t="shared" si="5"/>
        <v>#DIV/0!</v>
      </c>
      <c r="H46" s="60">
        <v>4140</v>
      </c>
    </row>
    <row r="47" spans="1:8" ht="13.5">
      <c r="A47" s="79" t="s">
        <v>249</v>
      </c>
      <c r="B47" s="312"/>
      <c r="C47" s="314"/>
      <c r="D47" s="361">
        <f t="shared" si="3"/>
        <v>0</v>
      </c>
      <c r="E47" s="333"/>
      <c r="F47" s="361">
        <f t="shared" si="4"/>
        <v>0</v>
      </c>
      <c r="G47" s="384" t="e">
        <f t="shared" si="5"/>
        <v>#DIV/0!</v>
      </c>
      <c r="H47" s="60">
        <v>4150</v>
      </c>
    </row>
    <row r="48" spans="1:8" ht="13.5">
      <c r="A48" s="79" t="s">
        <v>250</v>
      </c>
      <c r="B48" s="312"/>
      <c r="C48" s="314">
        <v>6000</v>
      </c>
      <c r="D48" s="361">
        <f t="shared" si="3"/>
        <v>0.18554392749700332</v>
      </c>
      <c r="E48" s="333">
        <v>6000</v>
      </c>
      <c r="F48" s="361">
        <f t="shared" si="4"/>
        <v>0.18344497283791739</v>
      </c>
      <c r="G48" s="384">
        <f t="shared" si="5"/>
        <v>100</v>
      </c>
      <c r="H48" s="60"/>
    </row>
    <row r="49" spans="1:8" ht="13.5">
      <c r="A49" s="79" t="s">
        <v>251</v>
      </c>
      <c r="B49" s="312"/>
      <c r="C49" s="319"/>
      <c r="D49" s="361">
        <f t="shared" si="3"/>
        <v>0</v>
      </c>
      <c r="E49" s="329"/>
      <c r="F49" s="361">
        <f t="shared" si="4"/>
        <v>0</v>
      </c>
      <c r="G49" s="384" t="e">
        <f t="shared" si="5"/>
        <v>#DIV/0!</v>
      </c>
      <c r="H49" s="412">
        <v>4161</v>
      </c>
    </row>
    <row r="50" spans="1:8" ht="13.5">
      <c r="A50" s="79" t="s">
        <v>252</v>
      </c>
      <c r="B50" s="312"/>
      <c r="C50" s="319">
        <v>140000</v>
      </c>
      <c r="D50" s="361">
        <f t="shared" si="3"/>
        <v>4.329358308263411</v>
      </c>
      <c r="E50" s="329">
        <v>140000</v>
      </c>
      <c r="F50" s="361">
        <f t="shared" si="4"/>
        <v>4.280382699551406</v>
      </c>
      <c r="G50" s="384">
        <f t="shared" si="5"/>
        <v>100</v>
      </c>
      <c r="H50" s="60">
        <v>4166</v>
      </c>
    </row>
    <row r="51" spans="1:8" ht="13.5">
      <c r="A51" s="79" t="s">
        <v>253</v>
      </c>
      <c r="B51" s="312"/>
      <c r="C51" s="314">
        <v>30000</v>
      </c>
      <c r="D51" s="361">
        <f t="shared" si="3"/>
        <v>0.9277196374850166</v>
      </c>
      <c r="E51" s="333">
        <v>30000</v>
      </c>
      <c r="F51" s="361">
        <f t="shared" si="4"/>
        <v>0.9172248641895869</v>
      </c>
      <c r="G51" s="384">
        <f t="shared" si="5"/>
        <v>100</v>
      </c>
      <c r="H51" s="60">
        <v>4167</v>
      </c>
    </row>
    <row r="52" spans="1:8" ht="13.5">
      <c r="A52" s="79" t="s">
        <v>254</v>
      </c>
      <c r="B52" s="312"/>
      <c r="C52" s="314"/>
      <c r="D52" s="361">
        <f t="shared" si="3"/>
        <v>0</v>
      </c>
      <c r="E52" s="333"/>
      <c r="F52" s="361">
        <f t="shared" si="4"/>
        <v>0</v>
      </c>
      <c r="G52" s="384" t="e">
        <f t="shared" si="5"/>
        <v>#DIV/0!</v>
      </c>
      <c r="H52" s="60">
        <v>4176</v>
      </c>
    </row>
    <row r="53" spans="1:8" ht="13.5">
      <c r="A53" s="79" t="s">
        <v>255</v>
      </c>
      <c r="B53" s="312"/>
      <c r="C53" s="319"/>
      <c r="D53" s="361">
        <f t="shared" si="3"/>
        <v>0</v>
      </c>
      <c r="E53" s="329"/>
      <c r="F53" s="361">
        <f t="shared" si="4"/>
        <v>0</v>
      </c>
      <c r="G53" s="384" t="e">
        <f t="shared" si="5"/>
        <v>#DIV/0!</v>
      </c>
      <c r="H53" s="60">
        <v>4179</v>
      </c>
    </row>
    <row r="54" spans="1:8" ht="13.5">
      <c r="A54" s="79" t="s">
        <v>256</v>
      </c>
      <c r="B54" s="312"/>
      <c r="C54" s="314"/>
      <c r="D54" s="361">
        <f t="shared" si="3"/>
        <v>0</v>
      </c>
      <c r="E54" s="333"/>
      <c r="F54" s="361">
        <f t="shared" si="4"/>
        <v>0</v>
      </c>
      <c r="G54" s="384" t="e">
        <f t="shared" si="5"/>
        <v>#DIV/0!</v>
      </c>
      <c r="H54" s="60">
        <v>4180</v>
      </c>
    </row>
    <row r="55" spans="1:8" ht="13.5">
      <c r="A55" s="79" t="s">
        <v>257</v>
      </c>
      <c r="B55" s="312"/>
      <c r="C55" s="319">
        <v>60000</v>
      </c>
      <c r="D55" s="361">
        <f t="shared" si="3"/>
        <v>1.8554392749700332</v>
      </c>
      <c r="E55" s="329">
        <v>60000</v>
      </c>
      <c r="F55" s="361">
        <f t="shared" si="4"/>
        <v>1.8344497283791739</v>
      </c>
      <c r="G55" s="384">
        <f t="shared" si="5"/>
        <v>100</v>
      </c>
      <c r="H55" s="60">
        <v>4190</v>
      </c>
    </row>
    <row r="56" spans="1:8" ht="13.5">
      <c r="A56" s="79" t="s">
        <v>258</v>
      </c>
      <c r="B56" s="312"/>
      <c r="C56" s="319"/>
      <c r="D56" s="361">
        <f t="shared" si="3"/>
        <v>0</v>
      </c>
      <c r="E56" s="329"/>
      <c r="F56" s="361">
        <f t="shared" si="4"/>
        <v>0</v>
      </c>
      <c r="G56" s="384" t="e">
        <f t="shared" si="5"/>
        <v>#DIV/0!</v>
      </c>
      <c r="H56" s="60">
        <v>41901</v>
      </c>
    </row>
    <row r="57" spans="1:8" ht="14.25" thickBot="1">
      <c r="A57" s="79" t="s">
        <v>259</v>
      </c>
      <c r="B57" s="312"/>
      <c r="C57" s="315"/>
      <c r="D57" s="362">
        <f t="shared" si="3"/>
        <v>0</v>
      </c>
      <c r="E57" s="522"/>
      <c r="F57" s="362">
        <f t="shared" si="4"/>
        <v>0</v>
      </c>
      <c r="G57" s="421" t="e">
        <f t="shared" si="5"/>
        <v>#DIV/0!</v>
      </c>
      <c r="H57" s="60">
        <v>4191</v>
      </c>
    </row>
    <row r="58" spans="1:7" ht="13.5">
      <c r="A58" s="34"/>
      <c r="B58" s="35" t="s">
        <v>166</v>
      </c>
      <c r="C58" s="34"/>
      <c r="D58" s="34"/>
      <c r="E58" s="34"/>
      <c r="F58"/>
      <c r="G58" s="304" t="s">
        <v>355</v>
      </c>
    </row>
    <row r="59" spans="1:7" ht="13.5">
      <c r="A59" s="34"/>
      <c r="B59" s="37" t="s">
        <v>33</v>
      </c>
      <c r="C59" s="34" t="s">
        <v>218</v>
      </c>
      <c r="D59" s="34"/>
      <c r="E59" s="34"/>
      <c r="F59" s="45"/>
      <c r="G59" s="208"/>
    </row>
    <row r="60" spans="1:7" ht="13.5">
      <c r="A60" s="162"/>
      <c r="B60" s="37" t="s">
        <v>34</v>
      </c>
      <c r="C60" s="34" t="s">
        <v>219</v>
      </c>
      <c r="D60" s="34"/>
      <c r="E60" s="34"/>
      <c r="F60" s="45"/>
      <c r="G60" s="208"/>
    </row>
    <row r="61" spans="1:7" ht="18">
      <c r="A61" s="34"/>
      <c r="B61" s="38" t="s">
        <v>35</v>
      </c>
      <c r="C61" s="34" t="s">
        <v>220</v>
      </c>
      <c r="D61" s="34"/>
      <c r="E61" s="34"/>
      <c r="F61" s="51"/>
      <c r="G61" s="305"/>
    </row>
    <row r="62" spans="1:7" ht="13.5">
      <c r="A62" s="34"/>
      <c r="B62" s="34"/>
      <c r="C62" s="34" t="s">
        <v>378</v>
      </c>
      <c r="D62" s="34"/>
      <c r="E62" s="34"/>
      <c r="F62" s="48"/>
      <c r="G62" s="305"/>
    </row>
    <row r="63" spans="1:7" ht="12.75">
      <c r="A63" s="149"/>
      <c r="B63" s="124" t="s">
        <v>79</v>
      </c>
      <c r="C63" s="45"/>
      <c r="D63" s="45"/>
      <c r="E63" s="45"/>
      <c r="F63" s="48"/>
      <c r="G63" s="306"/>
    </row>
    <row r="64" spans="1:7" ht="12.75">
      <c r="A64" s="303"/>
      <c r="B64" s="307" t="s">
        <v>374</v>
      </c>
      <c r="C64" s="79"/>
      <c r="D64" s="79"/>
      <c r="E64" s="79"/>
      <c r="F64" s="306"/>
      <c r="G64" s="306"/>
    </row>
    <row r="65" spans="2:6" ht="12.75">
      <c r="B65" s="79"/>
      <c r="C65" s="79"/>
      <c r="D65" s="79"/>
      <c r="E65" s="79"/>
      <c r="F65" s="303"/>
    </row>
    <row r="66" spans="1:6" ht="12.75">
      <c r="A66" s="303"/>
      <c r="B66" s="302" t="s">
        <v>152</v>
      </c>
      <c r="C66" s="79"/>
      <c r="D66" s="79"/>
      <c r="E66" s="79"/>
      <c r="F66" s="303"/>
    </row>
    <row r="67" spans="2:5" ht="11.25">
      <c r="B67" s="455" t="s">
        <v>323</v>
      </c>
      <c r="C67" s="79"/>
      <c r="D67" s="79"/>
      <c r="E67" s="79"/>
    </row>
    <row r="69" spans="1:7" ht="11.25">
      <c r="A69" s="122">
        <v>1</v>
      </c>
      <c r="B69" s="122">
        <v>2</v>
      </c>
      <c r="C69" s="122">
        <v>3</v>
      </c>
      <c r="D69" s="122">
        <v>4</v>
      </c>
      <c r="E69" s="122">
        <v>5</v>
      </c>
      <c r="F69" s="122">
        <v>6</v>
      </c>
      <c r="G69" s="122">
        <v>7</v>
      </c>
    </row>
    <row r="70" ht="12" thickBot="1">
      <c r="D70" s="122"/>
    </row>
    <row r="71" spans="1:7" ht="13.5">
      <c r="A71" s="302"/>
      <c r="B71" s="309" t="s">
        <v>7</v>
      </c>
      <c r="C71" s="310" t="s">
        <v>365</v>
      </c>
      <c r="D71" s="557" t="s">
        <v>28</v>
      </c>
      <c r="E71" s="310" t="s">
        <v>380</v>
      </c>
      <c r="F71" s="557" t="s">
        <v>28</v>
      </c>
      <c r="G71" s="393" t="s">
        <v>13</v>
      </c>
    </row>
    <row r="72" spans="3:7" ht="12" thickBot="1">
      <c r="C72" s="524" t="s">
        <v>16</v>
      </c>
      <c r="D72" s="148" t="s">
        <v>15</v>
      </c>
      <c r="E72" s="524" t="s">
        <v>16</v>
      </c>
      <c r="F72" s="148" t="s">
        <v>15</v>
      </c>
      <c r="G72" s="452" t="s">
        <v>40</v>
      </c>
    </row>
    <row r="73" spans="1:7" ht="11.25">
      <c r="A73" s="414" t="s">
        <v>260</v>
      </c>
      <c r="B73" s="79"/>
      <c r="C73" s="459">
        <v>5000</v>
      </c>
      <c r="D73" s="434">
        <f aca="true" t="shared" si="6" ref="D73:D89">$C73/$C$178*100</f>
        <v>0.15461993958083609</v>
      </c>
      <c r="E73" s="459">
        <v>5000</v>
      </c>
      <c r="F73" s="434">
        <f aca="true" t="shared" si="7" ref="F73:F89">$E73/$E$178*100</f>
        <v>0.1528708106982645</v>
      </c>
      <c r="G73" s="386">
        <f aca="true" t="shared" si="8" ref="G73:G89">E73/C73*100</f>
        <v>100</v>
      </c>
    </row>
    <row r="74" spans="1:7" ht="11.25">
      <c r="A74" s="414" t="s">
        <v>261</v>
      </c>
      <c r="B74" s="79"/>
      <c r="C74" s="437"/>
      <c r="D74" s="336">
        <f t="shared" si="6"/>
        <v>0</v>
      </c>
      <c r="E74" s="437"/>
      <c r="F74" s="336">
        <f t="shared" si="7"/>
        <v>0</v>
      </c>
      <c r="G74" s="387" t="e">
        <f t="shared" si="8"/>
        <v>#DIV/0!</v>
      </c>
    </row>
    <row r="75" spans="1:7" ht="11.25">
      <c r="A75" s="414" t="s">
        <v>385</v>
      </c>
      <c r="B75" s="79"/>
      <c r="C75" s="437">
        <v>12000</v>
      </c>
      <c r="D75" s="336">
        <f t="shared" si="6"/>
        <v>0.37108785499400665</v>
      </c>
      <c r="E75" s="437">
        <v>20000</v>
      </c>
      <c r="F75" s="336">
        <f t="shared" si="7"/>
        <v>0.611483242793058</v>
      </c>
      <c r="G75" s="387">
        <f t="shared" si="8"/>
        <v>166.66666666666669</v>
      </c>
    </row>
    <row r="76" spans="1:7" ht="11.25">
      <c r="A76" s="414" t="s">
        <v>386</v>
      </c>
      <c r="B76" s="79"/>
      <c r="C76" s="437">
        <v>28000</v>
      </c>
      <c r="D76" s="336">
        <f t="shared" si="6"/>
        <v>0.8658716616526821</v>
      </c>
      <c r="E76" s="437">
        <v>20000</v>
      </c>
      <c r="F76" s="336">
        <f t="shared" si="7"/>
        <v>0.611483242793058</v>
      </c>
      <c r="G76" s="387">
        <f t="shared" si="8"/>
        <v>71.42857142857143</v>
      </c>
    </row>
    <row r="77" spans="1:7" ht="11.25">
      <c r="A77" s="414" t="s">
        <v>262</v>
      </c>
      <c r="B77" s="79"/>
      <c r="C77" s="437"/>
      <c r="D77" s="336">
        <f t="shared" si="6"/>
        <v>0</v>
      </c>
      <c r="E77" s="437"/>
      <c r="F77" s="336">
        <f t="shared" si="7"/>
        <v>0</v>
      </c>
      <c r="G77" s="387" t="e">
        <f t="shared" si="8"/>
        <v>#DIV/0!</v>
      </c>
    </row>
    <row r="78" spans="1:7" ht="11.25">
      <c r="A78" s="414" t="s">
        <v>263</v>
      </c>
      <c r="B78" s="79"/>
      <c r="C78" s="437">
        <v>15000</v>
      </c>
      <c r="D78" s="336">
        <f t="shared" si="6"/>
        <v>0.4638598187425083</v>
      </c>
      <c r="E78" s="437">
        <v>15000</v>
      </c>
      <c r="F78" s="336">
        <f t="shared" si="7"/>
        <v>0.45861243209479347</v>
      </c>
      <c r="G78" s="387">
        <f t="shared" si="8"/>
        <v>100</v>
      </c>
    </row>
    <row r="79" spans="1:7" ht="11.25">
      <c r="A79" s="414" t="s">
        <v>264</v>
      </c>
      <c r="B79" s="79"/>
      <c r="C79" s="437"/>
      <c r="D79" s="336">
        <f t="shared" si="6"/>
        <v>0</v>
      </c>
      <c r="E79" s="437"/>
      <c r="F79" s="336">
        <f t="shared" si="7"/>
        <v>0</v>
      </c>
      <c r="G79" s="387" t="e">
        <f t="shared" si="8"/>
        <v>#DIV/0!</v>
      </c>
    </row>
    <row r="80" spans="1:7" ht="11.25">
      <c r="A80" s="414" t="s">
        <v>265</v>
      </c>
      <c r="B80" s="79"/>
      <c r="C80" s="437"/>
      <c r="D80" s="336">
        <f t="shared" si="6"/>
        <v>0</v>
      </c>
      <c r="E80" s="437"/>
      <c r="F80" s="336">
        <f t="shared" si="7"/>
        <v>0</v>
      </c>
      <c r="G80" s="387" t="e">
        <f t="shared" si="8"/>
        <v>#DIV/0!</v>
      </c>
    </row>
    <row r="81" spans="1:7" ht="11.25">
      <c r="A81" s="414" t="s">
        <v>266</v>
      </c>
      <c r="B81" s="79"/>
      <c r="C81" s="437"/>
      <c r="D81" s="336">
        <f t="shared" si="6"/>
        <v>0</v>
      </c>
      <c r="E81" s="437"/>
      <c r="F81" s="336">
        <f t="shared" si="7"/>
        <v>0</v>
      </c>
      <c r="G81" s="387" t="e">
        <f t="shared" si="8"/>
        <v>#DIV/0!</v>
      </c>
    </row>
    <row r="82" spans="1:7" ht="11.25">
      <c r="A82" s="414" t="s">
        <v>267</v>
      </c>
      <c r="B82" s="79"/>
      <c r="C82" s="437">
        <v>12000</v>
      </c>
      <c r="D82" s="336">
        <f t="shared" si="6"/>
        <v>0.37108785499400665</v>
      </c>
      <c r="E82" s="437">
        <v>12000</v>
      </c>
      <c r="F82" s="336">
        <f t="shared" si="7"/>
        <v>0.36688994567583477</v>
      </c>
      <c r="G82" s="387">
        <f t="shared" si="8"/>
        <v>100</v>
      </c>
    </row>
    <row r="83" spans="1:7" ht="11.25">
      <c r="A83" s="414" t="s">
        <v>268</v>
      </c>
      <c r="B83" s="79"/>
      <c r="C83" s="437">
        <v>4000</v>
      </c>
      <c r="D83" s="336">
        <f t="shared" si="6"/>
        <v>0.12369595166466889</v>
      </c>
      <c r="E83" s="437">
        <v>4000</v>
      </c>
      <c r="F83" s="336">
        <f t="shared" si="7"/>
        <v>0.12229664855861158</v>
      </c>
      <c r="G83" s="387">
        <f t="shared" si="8"/>
        <v>100</v>
      </c>
    </row>
    <row r="84" spans="1:7" ht="11.25">
      <c r="A84" s="414" t="s">
        <v>269</v>
      </c>
      <c r="B84" s="312"/>
      <c r="C84" s="314"/>
      <c r="D84" s="336">
        <f t="shared" si="6"/>
        <v>0</v>
      </c>
      <c r="E84" s="314"/>
      <c r="F84" s="336">
        <f t="shared" si="7"/>
        <v>0</v>
      </c>
      <c r="G84" s="387" t="e">
        <f t="shared" si="8"/>
        <v>#DIV/0!</v>
      </c>
    </row>
    <row r="85" spans="1:7" ht="11.25">
      <c r="A85" s="414" t="s">
        <v>270</v>
      </c>
      <c r="B85" s="312"/>
      <c r="C85" s="314"/>
      <c r="D85" s="336">
        <f t="shared" si="6"/>
        <v>0</v>
      </c>
      <c r="E85" s="314"/>
      <c r="F85" s="336">
        <f t="shared" si="7"/>
        <v>0</v>
      </c>
      <c r="G85" s="387" t="e">
        <f t="shared" si="8"/>
        <v>#DIV/0!</v>
      </c>
    </row>
    <row r="86" spans="1:7" ht="11.25">
      <c r="A86" s="414" t="s">
        <v>271</v>
      </c>
      <c r="B86" s="312"/>
      <c r="C86" s="319"/>
      <c r="D86" s="336">
        <f t="shared" si="6"/>
        <v>0</v>
      </c>
      <c r="E86" s="319"/>
      <c r="F86" s="336">
        <f t="shared" si="7"/>
        <v>0</v>
      </c>
      <c r="G86" s="387" t="e">
        <f t="shared" si="8"/>
        <v>#DIV/0!</v>
      </c>
    </row>
    <row r="87" spans="1:7" ht="12" thickBot="1">
      <c r="A87" s="414" t="s">
        <v>272</v>
      </c>
      <c r="B87" s="312"/>
      <c r="C87" s="390"/>
      <c r="D87" s="432">
        <f t="shared" si="6"/>
        <v>0</v>
      </c>
      <c r="E87" s="390"/>
      <c r="F87" s="432">
        <f t="shared" si="7"/>
        <v>0</v>
      </c>
      <c r="G87" s="388" t="e">
        <f t="shared" si="8"/>
        <v>#DIV/0!</v>
      </c>
    </row>
    <row r="88" spans="3:7" ht="12" thickBot="1">
      <c r="C88" s="437"/>
      <c r="D88" s="336">
        <f t="shared" si="6"/>
        <v>0</v>
      </c>
      <c r="E88" s="422"/>
      <c r="F88" s="336">
        <f t="shared" si="7"/>
        <v>0</v>
      </c>
      <c r="G88" s="387" t="e">
        <f t="shared" si="8"/>
        <v>#DIV/0!</v>
      </c>
    </row>
    <row r="89" spans="1:7" ht="12" thickBot="1">
      <c r="A89" s="302">
        <v>41</v>
      </c>
      <c r="B89" s="316" t="s">
        <v>74</v>
      </c>
      <c r="C89" s="317">
        <f>+SUM(C39:C57,C73:C87)</f>
        <v>527000</v>
      </c>
      <c r="D89" s="525">
        <f t="shared" si="6"/>
        <v>16.296941631820125</v>
      </c>
      <c r="E89" s="317">
        <f>+SUM(E39:E57,E73:E87)</f>
        <v>527000</v>
      </c>
      <c r="F89" s="525">
        <f t="shared" si="7"/>
        <v>16.11258344759708</v>
      </c>
      <c r="G89" s="389">
        <f t="shared" si="8"/>
        <v>100</v>
      </c>
    </row>
    <row r="90" spans="3:7" ht="12" thickBot="1">
      <c r="C90" s="182"/>
      <c r="D90" s="187"/>
      <c r="E90" s="182"/>
      <c r="F90" s="187"/>
      <c r="G90" s="313"/>
    </row>
    <row r="91" spans="1:9" ht="12" thickBot="1">
      <c r="A91" s="302">
        <v>42</v>
      </c>
      <c r="B91" s="316" t="s">
        <v>19</v>
      </c>
      <c r="C91" s="500">
        <f>SUM(C92:C102)</f>
        <v>1851348.58</v>
      </c>
      <c r="D91" s="363">
        <f aca="true" t="shared" si="9" ref="D91:D102">$C91/$C$178*100</f>
        <v>57.25108111653334</v>
      </c>
      <c r="E91" s="317">
        <f>SUM(E92:E102)</f>
        <v>1851348.5820000002</v>
      </c>
      <c r="F91" s="363">
        <f aca="true" t="shared" si="10" ref="F91:F102">$E91/$E$178*100</f>
        <v>56.60343172308448</v>
      </c>
      <c r="G91" s="389">
        <f aca="true" t="shared" si="11" ref="G91:G102">E91/C91*100</f>
        <v>100.00000010802937</v>
      </c>
      <c r="I91" s="169">
        <f>C91-E91</f>
        <v>-0.0020000000949949026</v>
      </c>
    </row>
    <row r="92" spans="1:7" ht="11.25">
      <c r="A92" s="414" t="s">
        <v>273</v>
      </c>
      <c r="B92" s="316"/>
      <c r="C92" s="327">
        <v>1194286.84</v>
      </c>
      <c r="D92" s="361">
        <f t="shared" si="9"/>
        <v>36.93211180859754</v>
      </c>
      <c r="E92" s="287">
        <f>1137416.04*1.05</f>
        <v>1194286.8420000002</v>
      </c>
      <c r="F92" s="361">
        <f t="shared" si="10"/>
        <v>36.51431954856203</v>
      </c>
      <c r="G92" s="387">
        <f t="shared" si="11"/>
        <v>100.00000016746398</v>
      </c>
    </row>
    <row r="93" spans="1:7" ht="11.25">
      <c r="A93" s="414" t="s">
        <v>274</v>
      </c>
      <c r="B93" s="316"/>
      <c r="C93" s="327">
        <v>144518.54</v>
      </c>
      <c r="D93" s="361">
        <f t="shared" si="9"/>
        <v>4.46908958462213</v>
      </c>
      <c r="E93" s="287">
        <v>144518.54</v>
      </c>
      <c r="F93" s="361">
        <f t="shared" si="10"/>
        <v>4.418533274145913</v>
      </c>
      <c r="G93" s="387">
        <f t="shared" si="11"/>
        <v>100</v>
      </c>
    </row>
    <row r="94" spans="1:7" ht="11.25">
      <c r="A94" s="414" t="s">
        <v>275</v>
      </c>
      <c r="B94" s="316"/>
      <c r="C94" s="327"/>
      <c r="D94" s="361">
        <f t="shared" si="9"/>
        <v>0</v>
      </c>
      <c r="E94" s="287"/>
      <c r="F94" s="361">
        <f t="shared" si="10"/>
        <v>0</v>
      </c>
      <c r="G94" s="387" t="e">
        <f t="shared" si="11"/>
        <v>#DIV/0!</v>
      </c>
    </row>
    <row r="95" spans="1:7" ht="11.25">
      <c r="A95" s="414" t="s">
        <v>276</v>
      </c>
      <c r="B95" s="316"/>
      <c r="C95" s="327">
        <v>283929.44</v>
      </c>
      <c r="D95" s="361">
        <f t="shared" si="9"/>
        <v>8.780230571604127</v>
      </c>
      <c r="E95" s="287">
        <v>283929.44</v>
      </c>
      <c r="F95" s="361">
        <f t="shared" si="10"/>
        <v>8.68090473478085</v>
      </c>
      <c r="G95" s="387">
        <f t="shared" si="11"/>
        <v>100</v>
      </c>
    </row>
    <row r="96" spans="1:7" ht="11.25">
      <c r="A96" s="414" t="s">
        <v>277</v>
      </c>
      <c r="B96" s="316"/>
      <c r="C96" s="327"/>
      <c r="D96" s="361">
        <f t="shared" si="9"/>
        <v>0</v>
      </c>
      <c r="E96" s="287"/>
      <c r="F96" s="361">
        <f t="shared" si="10"/>
        <v>0</v>
      </c>
      <c r="G96" s="387" t="e">
        <f t="shared" si="11"/>
        <v>#DIV/0!</v>
      </c>
    </row>
    <row r="97" spans="1:7" ht="11.25">
      <c r="A97" s="415" t="s">
        <v>278</v>
      </c>
      <c r="B97" s="192"/>
      <c r="C97" s="327"/>
      <c r="D97" s="361">
        <f t="shared" si="9"/>
        <v>0</v>
      </c>
      <c r="E97" s="287"/>
      <c r="F97" s="361">
        <f t="shared" si="10"/>
        <v>0</v>
      </c>
      <c r="G97" s="387" t="e">
        <f t="shared" si="11"/>
        <v>#DIV/0!</v>
      </c>
    </row>
    <row r="98" spans="1:7" ht="11.25">
      <c r="A98" s="414" t="s">
        <v>279</v>
      </c>
      <c r="B98" s="192"/>
      <c r="C98" s="327"/>
      <c r="D98" s="361">
        <f t="shared" si="9"/>
        <v>0</v>
      </c>
      <c r="E98" s="287"/>
      <c r="F98" s="361">
        <f t="shared" si="10"/>
        <v>0</v>
      </c>
      <c r="G98" s="387" t="e">
        <f t="shared" si="11"/>
        <v>#DIV/0!</v>
      </c>
    </row>
    <row r="99" spans="1:7" ht="11.25">
      <c r="A99" s="414" t="s">
        <v>280</v>
      </c>
      <c r="B99" s="192"/>
      <c r="C99" s="327"/>
      <c r="D99" s="361">
        <f t="shared" si="9"/>
        <v>0</v>
      </c>
      <c r="E99" s="287"/>
      <c r="F99" s="361">
        <f t="shared" si="10"/>
        <v>0</v>
      </c>
      <c r="G99" s="387" t="e">
        <f t="shared" si="11"/>
        <v>#DIV/0!</v>
      </c>
    </row>
    <row r="100" spans="1:7" ht="11.25">
      <c r="A100" s="414" t="s">
        <v>281</v>
      </c>
      <c r="B100" s="192"/>
      <c r="C100" s="327">
        <v>228613.76</v>
      </c>
      <c r="D100" s="361">
        <f t="shared" si="9"/>
        <v>7.069649151709553</v>
      </c>
      <c r="E100" s="287">
        <v>228613.76</v>
      </c>
      <c r="F100" s="361">
        <f t="shared" si="10"/>
        <v>6.989674165595694</v>
      </c>
      <c r="G100" s="387">
        <f t="shared" si="11"/>
        <v>100</v>
      </c>
    </row>
    <row r="101" spans="1:7" ht="11.25">
      <c r="A101" s="414" t="s">
        <v>282</v>
      </c>
      <c r="B101" s="192"/>
      <c r="C101" s="327"/>
      <c r="D101" s="361">
        <f t="shared" si="9"/>
        <v>0</v>
      </c>
      <c r="E101" s="287"/>
      <c r="F101" s="361">
        <f t="shared" si="10"/>
        <v>0</v>
      </c>
      <c r="G101" s="387" t="e">
        <f t="shared" si="11"/>
        <v>#DIV/0!</v>
      </c>
    </row>
    <row r="102" spans="1:7" ht="12" thickBot="1">
      <c r="A102" s="414" t="s">
        <v>283</v>
      </c>
      <c r="B102" s="192"/>
      <c r="C102" s="418"/>
      <c r="D102" s="362">
        <f t="shared" si="9"/>
        <v>0</v>
      </c>
      <c r="E102" s="322"/>
      <c r="F102" s="362">
        <f t="shared" si="10"/>
        <v>0</v>
      </c>
      <c r="G102" s="388" t="e">
        <f t="shared" si="11"/>
        <v>#DIV/0!</v>
      </c>
    </row>
    <row r="103" spans="1:7" ht="12" thickBot="1">
      <c r="A103" s="79"/>
      <c r="B103" s="192"/>
      <c r="C103" s="323"/>
      <c r="D103" s="187"/>
      <c r="E103" s="323"/>
      <c r="F103" s="187"/>
      <c r="G103" s="313"/>
    </row>
    <row r="104" spans="1:7" ht="12" thickBot="1">
      <c r="A104" s="302">
        <v>43</v>
      </c>
      <c r="B104" s="316" t="s">
        <v>20</v>
      </c>
      <c r="C104" s="317">
        <v>105000</v>
      </c>
      <c r="D104" s="525">
        <f>$C104/$C$178*100</f>
        <v>3.2470187311975582</v>
      </c>
      <c r="E104" s="317">
        <v>110000</v>
      </c>
      <c r="F104" s="525">
        <f>$E104/$E$178*100</f>
        <v>3.3631578353618186</v>
      </c>
      <c r="G104" s="389">
        <f>E104/C104*100</f>
        <v>104.76190476190477</v>
      </c>
    </row>
    <row r="105" spans="1:7" ht="12" thickBot="1">
      <c r="A105" s="302"/>
      <c r="B105" s="302"/>
      <c r="C105" s="181"/>
      <c r="D105" s="187"/>
      <c r="E105" s="181"/>
      <c r="F105" s="187"/>
      <c r="G105" s="313"/>
    </row>
    <row r="106" spans="1:7" ht="12" thickBot="1">
      <c r="A106" s="302">
        <v>4450</v>
      </c>
      <c r="B106" s="302" t="s">
        <v>77</v>
      </c>
      <c r="C106" s="317">
        <v>100000</v>
      </c>
      <c r="D106" s="525">
        <f>$C106/$C$178*100</f>
        <v>3.092398791616722</v>
      </c>
      <c r="E106" s="317">
        <v>100000</v>
      </c>
      <c r="F106" s="525">
        <f>$E106/$E$178*100</f>
        <v>3.05741621396529</v>
      </c>
      <c r="G106" s="389">
        <f>E106/C106*100</f>
        <v>100</v>
      </c>
    </row>
    <row r="107" spans="1:7" ht="12" thickBot="1">
      <c r="A107" s="79"/>
      <c r="B107" s="79"/>
      <c r="C107" s="416"/>
      <c r="D107" s="416"/>
      <c r="E107" s="416"/>
      <c r="F107" s="416"/>
      <c r="G107" s="416"/>
    </row>
    <row r="108" spans="1:7" ht="11.25">
      <c r="A108" s="414" t="s">
        <v>284</v>
      </c>
      <c r="B108" s="79"/>
      <c r="C108" s="559">
        <v>5000</v>
      </c>
      <c r="D108" s="360">
        <f aca="true" t="shared" si="12" ref="D108:D121">$C108/$C$178*100</f>
        <v>0.15461993958083609</v>
      </c>
      <c r="E108" s="447">
        <v>5000</v>
      </c>
      <c r="F108" s="360">
        <f aca="true" t="shared" si="13" ref="F108:F121">$E108/$E$178*100</f>
        <v>0.1528708106982645</v>
      </c>
      <c r="G108" s="383">
        <f aca="true" t="shared" si="14" ref="G108:G121">E108/C108*100</f>
        <v>100</v>
      </c>
    </row>
    <row r="109" spans="1:7" ht="11.25">
      <c r="A109" s="414" t="s">
        <v>285</v>
      </c>
      <c r="B109" s="79"/>
      <c r="C109" s="287">
        <v>2000</v>
      </c>
      <c r="D109" s="361">
        <f t="shared" si="12"/>
        <v>0.061847975832334444</v>
      </c>
      <c r="E109" s="180">
        <v>2000</v>
      </c>
      <c r="F109" s="361">
        <f t="shared" si="13"/>
        <v>0.06114832427930579</v>
      </c>
      <c r="G109" s="384">
        <f t="shared" si="14"/>
        <v>100</v>
      </c>
    </row>
    <row r="110" spans="1:7" ht="11.25">
      <c r="A110" s="414" t="s">
        <v>286</v>
      </c>
      <c r="B110" s="323"/>
      <c r="C110" s="287">
        <v>2600</v>
      </c>
      <c r="D110" s="361">
        <f t="shared" si="12"/>
        <v>0.08040236858203477</v>
      </c>
      <c r="E110" s="180">
        <v>2600</v>
      </c>
      <c r="F110" s="361">
        <f t="shared" si="13"/>
        <v>0.07949282156309755</v>
      </c>
      <c r="G110" s="384">
        <f t="shared" si="14"/>
        <v>100</v>
      </c>
    </row>
    <row r="111" spans="1:7" ht="11.25">
      <c r="A111" s="414" t="s">
        <v>287</v>
      </c>
      <c r="B111" s="79"/>
      <c r="C111" s="287">
        <v>24000</v>
      </c>
      <c r="D111" s="361">
        <f t="shared" si="12"/>
        <v>0.7421757099880133</v>
      </c>
      <c r="E111" s="180">
        <v>24000</v>
      </c>
      <c r="F111" s="361">
        <f t="shared" si="13"/>
        <v>0.7337798913516695</v>
      </c>
      <c r="G111" s="384">
        <f t="shared" si="14"/>
        <v>100</v>
      </c>
    </row>
    <row r="112" spans="1:7" s="182" customFormat="1" ht="11.25">
      <c r="A112" s="441">
        <v>461400</v>
      </c>
      <c r="B112" s="323" t="s">
        <v>97</v>
      </c>
      <c r="C112" s="287"/>
      <c r="D112" s="361">
        <f t="shared" si="12"/>
        <v>0</v>
      </c>
      <c r="E112" s="180"/>
      <c r="F112" s="361">
        <f t="shared" si="13"/>
        <v>0</v>
      </c>
      <c r="G112" s="384" t="e">
        <f t="shared" si="14"/>
        <v>#DIV/0!</v>
      </c>
    </row>
    <row r="113" spans="1:7" s="182" customFormat="1" ht="11.25">
      <c r="A113" s="441">
        <v>461500</v>
      </c>
      <c r="B113" s="323" t="s">
        <v>21</v>
      </c>
      <c r="C113" s="287">
        <v>8000</v>
      </c>
      <c r="D113" s="361">
        <f t="shared" si="12"/>
        <v>0.24739190332933778</v>
      </c>
      <c r="E113" s="180">
        <v>8000</v>
      </c>
      <c r="F113" s="361">
        <f t="shared" si="13"/>
        <v>0.24459329711722316</v>
      </c>
      <c r="G113" s="384">
        <f t="shared" si="14"/>
        <v>100</v>
      </c>
    </row>
    <row r="114" spans="1:7" ht="11.25">
      <c r="A114" s="414" t="s">
        <v>288</v>
      </c>
      <c r="B114" s="79"/>
      <c r="C114" s="287">
        <v>2500</v>
      </c>
      <c r="D114" s="361">
        <f t="shared" si="12"/>
        <v>0.07730996979041804</v>
      </c>
      <c r="E114" s="180">
        <v>2500</v>
      </c>
      <c r="F114" s="361">
        <f t="shared" si="13"/>
        <v>0.07643540534913225</v>
      </c>
      <c r="G114" s="384">
        <f t="shared" si="14"/>
        <v>100</v>
      </c>
    </row>
    <row r="115" spans="1:7" ht="11.25">
      <c r="A115" s="414" t="s">
        <v>289</v>
      </c>
      <c r="B115" s="79"/>
      <c r="C115" s="287">
        <v>1000</v>
      </c>
      <c r="D115" s="361">
        <f t="shared" si="12"/>
        <v>0.030923987916167222</v>
      </c>
      <c r="E115" s="180">
        <v>1000</v>
      </c>
      <c r="F115" s="361">
        <f t="shared" si="13"/>
        <v>0.030574162139652895</v>
      </c>
      <c r="G115" s="384">
        <f t="shared" si="14"/>
        <v>100</v>
      </c>
    </row>
    <row r="116" spans="1:7" s="182" customFormat="1" ht="11.25">
      <c r="A116" s="443" t="s">
        <v>318</v>
      </c>
      <c r="B116" s="323"/>
      <c r="C116" s="287">
        <v>41760</v>
      </c>
      <c r="D116" s="361">
        <f t="shared" si="12"/>
        <v>1.2913857353791431</v>
      </c>
      <c r="E116" s="180">
        <v>41760</v>
      </c>
      <c r="F116" s="361">
        <f t="shared" si="13"/>
        <v>1.276777010951905</v>
      </c>
      <c r="G116" s="384">
        <f t="shared" si="14"/>
        <v>100</v>
      </c>
    </row>
    <row r="117" spans="1:7" ht="11.25">
      <c r="A117" s="414" t="s">
        <v>290</v>
      </c>
      <c r="B117" s="79"/>
      <c r="C117" s="287">
        <v>157607</v>
      </c>
      <c r="D117" s="361">
        <f t="shared" si="12"/>
        <v>4.873836963503367</v>
      </c>
      <c r="E117" s="180">
        <v>157607</v>
      </c>
      <c r="F117" s="361">
        <f t="shared" si="13"/>
        <v>4.818701972344274</v>
      </c>
      <c r="G117" s="384">
        <f t="shared" si="14"/>
        <v>100</v>
      </c>
    </row>
    <row r="118" spans="1:7" ht="11.25">
      <c r="A118" s="414" t="s">
        <v>291</v>
      </c>
      <c r="B118" s="79"/>
      <c r="C118" s="287"/>
      <c r="D118" s="361">
        <f t="shared" si="12"/>
        <v>0</v>
      </c>
      <c r="E118" s="180"/>
      <c r="F118" s="361">
        <f t="shared" si="13"/>
        <v>0</v>
      </c>
      <c r="G118" s="384" t="e">
        <f t="shared" si="14"/>
        <v>#DIV/0!</v>
      </c>
    </row>
    <row r="119" spans="1:7" ht="11.25">
      <c r="A119" s="414" t="s">
        <v>292</v>
      </c>
      <c r="B119" s="79"/>
      <c r="C119" s="287"/>
      <c r="D119" s="361">
        <f t="shared" si="12"/>
        <v>0</v>
      </c>
      <c r="E119" s="180"/>
      <c r="F119" s="361">
        <f t="shared" si="13"/>
        <v>0</v>
      </c>
      <c r="G119" s="384" t="e">
        <f t="shared" si="14"/>
        <v>#DIV/0!</v>
      </c>
    </row>
    <row r="120" spans="1:7" ht="11.25">
      <c r="A120" s="414" t="s">
        <v>293</v>
      </c>
      <c r="B120" s="79"/>
      <c r="C120" s="287">
        <v>8000</v>
      </c>
      <c r="D120" s="361">
        <f t="shared" si="12"/>
        <v>0.24739190332933778</v>
      </c>
      <c r="E120" s="180">
        <v>8000</v>
      </c>
      <c r="F120" s="361">
        <f t="shared" si="13"/>
        <v>0.24459329711722316</v>
      </c>
      <c r="G120" s="384">
        <f t="shared" si="14"/>
        <v>100</v>
      </c>
    </row>
    <row r="121" spans="1:7" ht="12" thickBot="1">
      <c r="A121" s="414" t="s">
        <v>423</v>
      </c>
      <c r="B121" s="79" t="s">
        <v>422</v>
      </c>
      <c r="C121" s="322">
        <v>10000</v>
      </c>
      <c r="D121" s="362">
        <f t="shared" si="12"/>
        <v>0.30923987916167217</v>
      </c>
      <c r="E121" s="448">
        <v>42000</v>
      </c>
      <c r="F121" s="362">
        <f t="shared" si="13"/>
        <v>1.2841148098654216</v>
      </c>
      <c r="G121" s="421">
        <f t="shared" si="14"/>
        <v>420</v>
      </c>
    </row>
    <row r="122" spans="1:7" ht="13.5">
      <c r="A122" s="34"/>
      <c r="B122" s="35" t="s">
        <v>166</v>
      </c>
      <c r="C122" s="34"/>
      <c r="D122" s="34"/>
      <c r="E122" s="34"/>
      <c r="F122"/>
      <c r="G122" s="304" t="s">
        <v>361</v>
      </c>
    </row>
    <row r="123" spans="1:6" ht="13.5">
      <c r="A123" s="34"/>
      <c r="B123" s="37" t="s">
        <v>33</v>
      </c>
      <c r="C123" s="34" t="s">
        <v>218</v>
      </c>
      <c r="D123" s="34"/>
      <c r="E123" s="34"/>
      <c r="F123" s="45"/>
    </row>
    <row r="124" spans="1:6" ht="13.5">
      <c r="A124" s="162"/>
      <c r="B124" s="37" t="s">
        <v>34</v>
      </c>
      <c r="C124" s="34" t="s">
        <v>219</v>
      </c>
      <c r="D124" s="34"/>
      <c r="E124" s="34"/>
      <c r="F124" s="45"/>
    </row>
    <row r="125" spans="1:6" ht="18">
      <c r="A125" s="34"/>
      <c r="B125" s="38" t="s">
        <v>35</v>
      </c>
      <c r="C125" s="34" t="s">
        <v>220</v>
      </c>
      <c r="D125" s="34"/>
      <c r="E125" s="34"/>
      <c r="F125" s="51"/>
    </row>
    <row r="126" spans="1:6" ht="13.5">
      <c r="A126" s="34"/>
      <c r="B126" s="34"/>
      <c r="C126" s="34" t="s">
        <v>378</v>
      </c>
      <c r="D126" s="34"/>
      <c r="E126" s="34"/>
      <c r="F126" s="48"/>
    </row>
    <row r="127" spans="1:7" ht="12.75">
      <c r="A127" s="303"/>
      <c r="B127" s="124"/>
      <c r="C127" s="303"/>
      <c r="D127" s="303"/>
      <c r="E127" s="303"/>
      <c r="F127" s="306"/>
      <c r="G127" s="306"/>
    </row>
    <row r="128" spans="1:7" ht="12.75">
      <c r="A128" s="303"/>
      <c r="B128" s="307" t="s">
        <v>374</v>
      </c>
      <c r="C128" s="79"/>
      <c r="D128" s="79"/>
      <c r="E128" s="79"/>
      <c r="F128" s="306"/>
      <c r="G128" s="306"/>
    </row>
    <row r="129" spans="2:6" ht="12.75">
      <c r="B129" s="79"/>
      <c r="C129" s="79"/>
      <c r="D129" s="79"/>
      <c r="E129" s="79"/>
      <c r="F129" s="303"/>
    </row>
    <row r="130" spans="1:6" ht="12.75">
      <c r="A130" s="303"/>
      <c r="B130" s="302" t="s">
        <v>151</v>
      </c>
      <c r="C130" s="79"/>
      <c r="D130" s="79"/>
      <c r="E130" s="79"/>
      <c r="F130" s="303"/>
    </row>
    <row r="131" spans="1:6" ht="12.75">
      <c r="A131" s="303"/>
      <c r="B131" s="79"/>
      <c r="C131" s="79"/>
      <c r="D131" s="79"/>
      <c r="E131" s="79"/>
      <c r="F131" s="303"/>
    </row>
    <row r="132" spans="2:5" ht="11.25">
      <c r="B132" s="455" t="s">
        <v>323</v>
      </c>
      <c r="C132" s="79"/>
      <c r="D132" s="79"/>
      <c r="E132" s="79"/>
    </row>
    <row r="133" spans="1:7" ht="11.25">
      <c r="A133" s="122">
        <v>1</v>
      </c>
      <c r="B133" s="122">
        <v>2</v>
      </c>
      <c r="C133" s="122">
        <v>3</v>
      </c>
      <c r="D133" s="122">
        <v>4</v>
      </c>
      <c r="E133" s="122">
        <v>5</v>
      </c>
      <c r="F133" s="122">
        <v>6</v>
      </c>
      <c r="G133" s="122">
        <v>7</v>
      </c>
    </row>
    <row r="134" ht="12" thickBot="1">
      <c r="D134" s="122"/>
    </row>
    <row r="135" spans="1:7" ht="11.25">
      <c r="A135" s="302"/>
      <c r="B135" s="309" t="s">
        <v>7</v>
      </c>
      <c r="C135" s="445" t="s">
        <v>365</v>
      </c>
      <c r="D135" s="424" t="s">
        <v>28</v>
      </c>
      <c r="E135" s="544" t="s">
        <v>380</v>
      </c>
      <c r="F135" s="424" t="s">
        <v>28</v>
      </c>
      <c r="G135" s="245" t="s">
        <v>13</v>
      </c>
    </row>
    <row r="136" spans="1:7" ht="12" thickBot="1">
      <c r="A136" s="79"/>
      <c r="B136" s="79"/>
      <c r="C136" s="526" t="s">
        <v>16</v>
      </c>
      <c r="D136" s="425" t="s">
        <v>15</v>
      </c>
      <c r="E136" s="527" t="s">
        <v>16</v>
      </c>
      <c r="F136" s="425" t="s">
        <v>15</v>
      </c>
      <c r="G136" s="541" t="s">
        <v>40</v>
      </c>
    </row>
    <row r="137" spans="1:7" ht="11.25">
      <c r="A137" s="414"/>
      <c r="B137" s="79"/>
      <c r="C137" s="559"/>
      <c r="D137" s="361"/>
      <c r="E137" s="180"/>
      <c r="F137" s="361"/>
      <c r="G137" s="383"/>
    </row>
    <row r="138" spans="1:7" ht="11.25">
      <c r="A138" s="414" t="s">
        <v>294</v>
      </c>
      <c r="B138" s="79"/>
      <c r="C138" s="287">
        <v>30000</v>
      </c>
      <c r="D138" s="361">
        <f aca="true" t="shared" si="15" ref="D138:D154">$C138/$C$178*100</f>
        <v>0.9277196374850166</v>
      </c>
      <c r="E138" s="180">
        <v>30000</v>
      </c>
      <c r="F138" s="361">
        <f aca="true" t="shared" si="16" ref="F138:F154">$E138/$E$178*100</f>
        <v>0.9172248641895869</v>
      </c>
      <c r="G138" s="384">
        <f aca="true" t="shared" si="17" ref="G138:G154">E138/C138*100</f>
        <v>100</v>
      </c>
    </row>
    <row r="139" spans="1:7" ht="11.25">
      <c r="A139" s="414" t="s">
        <v>295</v>
      </c>
      <c r="B139" s="79"/>
      <c r="C139" s="287"/>
      <c r="D139" s="361">
        <f t="shared" si="15"/>
        <v>0</v>
      </c>
      <c r="E139" s="180"/>
      <c r="F139" s="361">
        <f t="shared" si="16"/>
        <v>0</v>
      </c>
      <c r="G139" s="384" t="e">
        <f t="shared" si="17"/>
        <v>#DIV/0!</v>
      </c>
    </row>
    <row r="140" spans="1:7" ht="11.25">
      <c r="A140" s="439" t="s">
        <v>319</v>
      </c>
      <c r="B140" s="79"/>
      <c r="C140" s="287"/>
      <c r="D140" s="361">
        <f t="shared" si="15"/>
        <v>0</v>
      </c>
      <c r="E140" s="180"/>
      <c r="F140" s="361">
        <f t="shared" si="16"/>
        <v>0</v>
      </c>
      <c r="G140" s="384" t="e">
        <f t="shared" si="17"/>
        <v>#DIV/0!</v>
      </c>
    </row>
    <row r="141" spans="1:7" ht="11.25">
      <c r="A141" s="439" t="s">
        <v>321</v>
      </c>
      <c r="B141" s="79"/>
      <c r="C141" s="287"/>
      <c r="D141" s="361">
        <f t="shared" si="15"/>
        <v>0</v>
      </c>
      <c r="E141" s="180"/>
      <c r="F141" s="361">
        <f t="shared" si="16"/>
        <v>0</v>
      </c>
      <c r="G141" s="384" t="e">
        <f t="shared" si="17"/>
        <v>#DIV/0!</v>
      </c>
    </row>
    <row r="142" spans="1:7" ht="11.25">
      <c r="A142" s="414" t="s">
        <v>296</v>
      </c>
      <c r="B142" s="79"/>
      <c r="C142" s="287"/>
      <c r="D142" s="361">
        <f t="shared" si="15"/>
        <v>0</v>
      </c>
      <c r="E142" s="180"/>
      <c r="F142" s="361">
        <f t="shared" si="16"/>
        <v>0</v>
      </c>
      <c r="G142" s="384" t="e">
        <f t="shared" si="17"/>
        <v>#DIV/0!</v>
      </c>
    </row>
    <row r="143" spans="1:7" ht="11.25">
      <c r="A143" s="439" t="s">
        <v>320</v>
      </c>
      <c r="B143" s="79"/>
      <c r="C143" s="287">
        <v>20000</v>
      </c>
      <c r="D143" s="361">
        <f t="shared" si="15"/>
        <v>0.6184797583233443</v>
      </c>
      <c r="E143" s="180">
        <v>20000</v>
      </c>
      <c r="F143" s="361">
        <f t="shared" si="16"/>
        <v>0.611483242793058</v>
      </c>
      <c r="G143" s="384">
        <f t="shared" si="17"/>
        <v>100</v>
      </c>
    </row>
    <row r="144" spans="1:7" ht="11.25">
      <c r="A144" s="414" t="s">
        <v>297</v>
      </c>
      <c r="B144" s="79"/>
      <c r="C144" s="287"/>
      <c r="D144" s="361">
        <f t="shared" si="15"/>
        <v>0</v>
      </c>
      <c r="E144" s="180"/>
      <c r="F144" s="361">
        <f t="shared" si="16"/>
        <v>0</v>
      </c>
      <c r="G144" s="384" t="e">
        <f t="shared" si="17"/>
        <v>#DIV/0!</v>
      </c>
    </row>
    <row r="145" spans="1:7" ht="11.25">
      <c r="A145" s="414" t="s">
        <v>298</v>
      </c>
      <c r="B145" s="79"/>
      <c r="C145" s="287">
        <v>800</v>
      </c>
      <c r="D145" s="361">
        <f t="shared" si="15"/>
        <v>0.02473919033293378</v>
      </c>
      <c r="E145" s="180">
        <v>800</v>
      </c>
      <c r="F145" s="361">
        <f t="shared" si="16"/>
        <v>0.024459329711722315</v>
      </c>
      <c r="G145" s="384">
        <f t="shared" si="17"/>
        <v>100</v>
      </c>
    </row>
    <row r="146" spans="1:7" ht="11.25">
      <c r="A146" s="414" t="s">
        <v>299</v>
      </c>
      <c r="B146" s="79"/>
      <c r="C146" s="287">
        <v>200</v>
      </c>
      <c r="D146" s="361">
        <f t="shared" si="15"/>
        <v>0.006184797583233445</v>
      </c>
      <c r="E146" s="180">
        <v>200</v>
      </c>
      <c r="F146" s="361">
        <f t="shared" si="16"/>
        <v>0.006114832427930579</v>
      </c>
      <c r="G146" s="384">
        <f t="shared" si="17"/>
        <v>100</v>
      </c>
    </row>
    <row r="147" spans="1:7" ht="11.25">
      <c r="A147" s="414" t="s">
        <v>300</v>
      </c>
      <c r="B147" s="79"/>
      <c r="C147" s="287"/>
      <c r="D147" s="361">
        <f t="shared" si="15"/>
        <v>0</v>
      </c>
      <c r="E147" s="180"/>
      <c r="F147" s="361">
        <f t="shared" si="16"/>
        <v>0</v>
      </c>
      <c r="G147" s="384" t="e">
        <f t="shared" si="17"/>
        <v>#DIV/0!</v>
      </c>
    </row>
    <row r="148" spans="1:7" ht="11.25">
      <c r="A148" s="414" t="s">
        <v>301</v>
      </c>
      <c r="B148" s="79"/>
      <c r="C148" s="287">
        <v>1920</v>
      </c>
      <c r="D148" s="361">
        <f t="shared" si="15"/>
        <v>0.059374056799041064</v>
      </c>
      <c r="E148" s="180">
        <v>1920</v>
      </c>
      <c r="F148" s="361">
        <f t="shared" si="16"/>
        <v>0.05870239130813357</v>
      </c>
      <c r="G148" s="384">
        <f t="shared" si="17"/>
        <v>100</v>
      </c>
    </row>
    <row r="149" spans="1:7" ht="11.25">
      <c r="A149" s="414" t="s">
        <v>302</v>
      </c>
      <c r="B149" s="79"/>
      <c r="C149" s="287">
        <v>5000</v>
      </c>
      <c r="D149" s="361">
        <f t="shared" si="15"/>
        <v>0.15461993958083609</v>
      </c>
      <c r="E149" s="180">
        <v>5000</v>
      </c>
      <c r="F149" s="361">
        <f t="shared" si="16"/>
        <v>0.1528708106982645</v>
      </c>
      <c r="G149" s="384">
        <f t="shared" si="17"/>
        <v>100</v>
      </c>
    </row>
    <row r="150" spans="1:7" ht="11.25">
      <c r="A150" s="414" t="s">
        <v>303</v>
      </c>
      <c r="B150" s="79"/>
      <c r="C150" s="287">
        <v>4000</v>
      </c>
      <c r="D150" s="361">
        <f t="shared" si="15"/>
        <v>0.12369595166466889</v>
      </c>
      <c r="E150" s="180">
        <v>4000</v>
      </c>
      <c r="F150" s="361">
        <f t="shared" si="16"/>
        <v>0.12229664855861158</v>
      </c>
      <c r="G150" s="384">
        <f t="shared" si="17"/>
        <v>100</v>
      </c>
    </row>
    <row r="151" spans="1:7" ht="11.25">
      <c r="A151" s="414" t="s">
        <v>304</v>
      </c>
      <c r="B151" s="79"/>
      <c r="C151" s="287"/>
      <c r="D151" s="361">
        <f t="shared" si="15"/>
        <v>0</v>
      </c>
      <c r="E151" s="180"/>
      <c r="F151" s="361">
        <f t="shared" si="16"/>
        <v>0</v>
      </c>
      <c r="G151" s="384" t="e">
        <f t="shared" si="17"/>
        <v>#DIV/0!</v>
      </c>
    </row>
    <row r="152" spans="1:7" ht="11.25">
      <c r="A152" s="414" t="s">
        <v>305</v>
      </c>
      <c r="B152" s="79"/>
      <c r="C152" s="287">
        <v>5000</v>
      </c>
      <c r="D152" s="361">
        <f t="shared" si="15"/>
        <v>0.15461993958083609</v>
      </c>
      <c r="E152" s="180">
        <v>5000</v>
      </c>
      <c r="F152" s="361">
        <f t="shared" si="16"/>
        <v>0.1528708106982645</v>
      </c>
      <c r="G152" s="384">
        <f t="shared" si="17"/>
        <v>100</v>
      </c>
    </row>
    <row r="153" spans="1:7" ht="12" thickBot="1">
      <c r="A153" s="79"/>
      <c r="B153" s="79"/>
      <c r="C153" s="322"/>
      <c r="D153" s="361">
        <f t="shared" si="15"/>
        <v>0</v>
      </c>
      <c r="E153" s="180"/>
      <c r="F153" s="361">
        <f t="shared" si="16"/>
        <v>0</v>
      </c>
      <c r="G153" s="384" t="e">
        <f t="shared" si="17"/>
        <v>#DIV/0!</v>
      </c>
    </row>
    <row r="154" spans="1:7" ht="12" thickBot="1">
      <c r="A154" s="302">
        <v>46</v>
      </c>
      <c r="B154" s="316" t="s">
        <v>98</v>
      </c>
      <c r="C154" s="500">
        <f>SUM(C108:C121,C137:C153)</f>
        <v>329387</v>
      </c>
      <c r="D154" s="363">
        <f t="shared" si="15"/>
        <v>10.185959607742571</v>
      </c>
      <c r="E154" s="438">
        <f>SUM(E108:E121,E137:E153)</f>
        <v>361387</v>
      </c>
      <c r="F154" s="363">
        <f t="shared" si="16"/>
        <v>11.049104733162741</v>
      </c>
      <c r="G154" s="385">
        <f t="shared" si="17"/>
        <v>109.71501607531566</v>
      </c>
    </row>
    <row r="155" spans="1:7" ht="11.25">
      <c r="A155" s="79"/>
      <c r="B155" s="79"/>
      <c r="C155" s="79"/>
      <c r="D155" s="79"/>
      <c r="E155" s="79"/>
      <c r="F155" s="79"/>
      <c r="G155" s="313"/>
    </row>
    <row r="156" spans="1:7" ht="12" thickBot="1">
      <c r="A156" s="79"/>
      <c r="B156" s="79"/>
      <c r="C156" s="79"/>
      <c r="D156" s="79"/>
      <c r="E156" s="79"/>
      <c r="F156" s="79"/>
      <c r="G156" s="313"/>
    </row>
    <row r="157" spans="1:7" ht="11.25">
      <c r="A157" s="414" t="s">
        <v>306</v>
      </c>
      <c r="B157" s="79"/>
      <c r="C157" s="566">
        <v>40000</v>
      </c>
      <c r="D157" s="360">
        <f>$C157/$C$178*100</f>
        <v>1.2369595166466887</v>
      </c>
      <c r="E157" s="536">
        <v>40000</v>
      </c>
      <c r="F157" s="360">
        <f>$E157/$E$178*100</f>
        <v>1.222966485586116</v>
      </c>
      <c r="G157" s="383">
        <f>E157/C157*100</f>
        <v>100</v>
      </c>
    </row>
    <row r="158" spans="1:7" ht="11.25">
      <c r="A158" s="414" t="s">
        <v>307</v>
      </c>
      <c r="B158" s="79"/>
      <c r="C158" s="346">
        <v>100000</v>
      </c>
      <c r="D158" s="361">
        <f>$C158/$C$178*100</f>
        <v>3.092398791616722</v>
      </c>
      <c r="E158" s="511">
        <v>100000</v>
      </c>
      <c r="F158" s="361">
        <f>$E158/$E$178*100</f>
        <v>3.05741621396529</v>
      </c>
      <c r="G158" s="384">
        <f>E158/C158*100</f>
        <v>100</v>
      </c>
    </row>
    <row r="159" spans="1:7" ht="11.25">
      <c r="A159" s="414" t="s">
        <v>308</v>
      </c>
      <c r="B159" s="79"/>
      <c r="C159" s="346"/>
      <c r="D159" s="361">
        <f>$C159/$C$178*100</f>
        <v>0</v>
      </c>
      <c r="E159" s="511"/>
      <c r="F159" s="361">
        <f>$E159/$E$178*100</f>
        <v>0</v>
      </c>
      <c r="G159" s="384" t="e">
        <f>E159/C159*100</f>
        <v>#DIV/0!</v>
      </c>
    </row>
    <row r="160" spans="1:7" ht="11.25">
      <c r="A160" s="414" t="s">
        <v>309</v>
      </c>
      <c r="B160" s="79"/>
      <c r="C160" s="314">
        <v>30000</v>
      </c>
      <c r="D160" s="361">
        <f>$C160/$C$178*100</f>
        <v>0.9277196374850166</v>
      </c>
      <c r="E160" s="333">
        <v>30000</v>
      </c>
      <c r="F160" s="361">
        <f>$E160/$E$178*100</f>
        <v>0.9172248641895869</v>
      </c>
      <c r="G160" s="384">
        <f>E160/C160*100</f>
        <v>100</v>
      </c>
    </row>
    <row r="161" spans="1:7" ht="12" thickBot="1">
      <c r="A161" s="414" t="s">
        <v>310</v>
      </c>
      <c r="B161" s="79"/>
      <c r="C161" s="315"/>
      <c r="D161" s="362">
        <f>$C161/$C$178*100</f>
        <v>0</v>
      </c>
      <c r="E161" s="522"/>
      <c r="F161" s="362">
        <f>$E161/$E$178*100</f>
        <v>0</v>
      </c>
      <c r="G161" s="421" t="e">
        <f>E161/C161*100</f>
        <v>#DIV/0!</v>
      </c>
    </row>
    <row r="162" spans="1:7" ht="12" thickBot="1">
      <c r="A162" s="79"/>
      <c r="B162" s="79"/>
      <c r="C162" s="333"/>
      <c r="D162" s="286"/>
      <c r="E162" s="333"/>
      <c r="F162" s="286"/>
      <c r="G162" s="313"/>
    </row>
    <row r="163" spans="1:7" ht="12" thickBot="1">
      <c r="A163" s="302">
        <v>47</v>
      </c>
      <c r="B163" s="316" t="s">
        <v>144</v>
      </c>
      <c r="C163" s="427">
        <f>+SUM(C157:C161)</f>
        <v>170000</v>
      </c>
      <c r="D163" s="533">
        <f>$C163/$C$178*100</f>
        <v>5.257077945748428</v>
      </c>
      <c r="E163" s="427">
        <f>+SUM(E157:E161)</f>
        <v>170000</v>
      </c>
      <c r="F163" s="363">
        <f>$E163/$E$178*100</f>
        <v>5.197607563740993</v>
      </c>
      <c r="G163" s="389">
        <f>E163/C163*100</f>
        <v>100</v>
      </c>
    </row>
    <row r="164" spans="1:7" ht="12" thickBot="1">
      <c r="A164" s="302"/>
      <c r="B164" s="316"/>
      <c r="C164" s="333"/>
      <c r="D164" s="286"/>
      <c r="E164" s="333"/>
      <c r="F164" s="286"/>
      <c r="G164" s="313"/>
    </row>
    <row r="165" spans="1:7" ht="11.25">
      <c r="A165" s="414" t="s">
        <v>311</v>
      </c>
      <c r="B165" s="312"/>
      <c r="C165" s="320">
        <v>0</v>
      </c>
      <c r="D165" s="434">
        <f aca="true" t="shared" si="18" ref="D165:D171">$C165/$C$178*100</f>
        <v>0</v>
      </c>
      <c r="E165" s="320">
        <v>0</v>
      </c>
      <c r="F165" s="434">
        <f aca="true" t="shared" si="19" ref="F165:F171">$E165/$E$178*100</f>
        <v>0</v>
      </c>
      <c r="G165" s="386" t="e">
        <f aca="true" t="shared" si="20" ref="G165:G171">E165/C165*100</f>
        <v>#DIV/0!</v>
      </c>
    </row>
    <row r="166" spans="1:7" ht="11.25">
      <c r="A166" s="414" t="s">
        <v>312</v>
      </c>
      <c r="B166" s="312"/>
      <c r="C166" s="314"/>
      <c r="D166" s="336">
        <f t="shared" si="18"/>
        <v>0</v>
      </c>
      <c r="E166" s="314"/>
      <c r="F166" s="336">
        <f t="shared" si="19"/>
        <v>0</v>
      </c>
      <c r="G166" s="387" t="e">
        <f t="shared" si="20"/>
        <v>#DIV/0!</v>
      </c>
    </row>
    <row r="167" spans="1:7" ht="11.25">
      <c r="A167" s="414" t="s">
        <v>313</v>
      </c>
      <c r="B167" s="312"/>
      <c r="C167" s="314"/>
      <c r="D167" s="336">
        <f t="shared" si="18"/>
        <v>0</v>
      </c>
      <c r="E167" s="314"/>
      <c r="F167" s="336">
        <f t="shared" si="19"/>
        <v>0</v>
      </c>
      <c r="G167" s="387" t="e">
        <f t="shared" si="20"/>
        <v>#DIV/0!</v>
      </c>
    </row>
    <row r="168" spans="1:7" ht="11.25">
      <c r="A168" s="414" t="s">
        <v>314</v>
      </c>
      <c r="B168" s="79"/>
      <c r="C168" s="314"/>
      <c r="D168" s="336">
        <f t="shared" si="18"/>
        <v>0</v>
      </c>
      <c r="E168" s="314"/>
      <c r="F168" s="336">
        <f t="shared" si="19"/>
        <v>0</v>
      </c>
      <c r="G168" s="387" t="e">
        <f t="shared" si="20"/>
        <v>#DIV/0!</v>
      </c>
    </row>
    <row r="169" spans="1:7" ht="12" thickBot="1">
      <c r="A169" s="79"/>
      <c r="B169" s="79"/>
      <c r="C169" s="315"/>
      <c r="D169" s="432">
        <f t="shared" si="18"/>
        <v>0</v>
      </c>
      <c r="E169" s="315"/>
      <c r="F169" s="432">
        <f t="shared" si="19"/>
        <v>0</v>
      </c>
      <c r="G169" s="388" t="e">
        <f t="shared" si="20"/>
        <v>#DIV/0!</v>
      </c>
    </row>
    <row r="170" spans="1:7" ht="11.25">
      <c r="A170" s="79"/>
      <c r="B170" s="79"/>
      <c r="C170" s="314"/>
      <c r="D170" s="336">
        <f t="shared" si="18"/>
        <v>0</v>
      </c>
      <c r="E170" s="314"/>
      <c r="F170" s="336">
        <f t="shared" si="19"/>
        <v>0</v>
      </c>
      <c r="G170" s="387" t="e">
        <f t="shared" si="20"/>
        <v>#DIV/0!</v>
      </c>
    </row>
    <row r="171" spans="1:7" ht="12" thickBot="1">
      <c r="A171" s="316">
        <v>48</v>
      </c>
      <c r="B171" s="316" t="s">
        <v>122</v>
      </c>
      <c r="C171" s="390">
        <f>+SUM(C165:C170)</f>
        <v>0</v>
      </c>
      <c r="D171" s="432">
        <f t="shared" si="18"/>
        <v>0</v>
      </c>
      <c r="E171" s="390">
        <f>+SUM(E165:E170)</f>
        <v>0</v>
      </c>
      <c r="F171" s="432">
        <f t="shared" si="19"/>
        <v>0</v>
      </c>
      <c r="G171" s="388" t="e">
        <f t="shared" si="20"/>
        <v>#DIV/0!</v>
      </c>
    </row>
    <row r="172" spans="1:7" ht="12" thickBot="1">
      <c r="A172" s="79"/>
      <c r="B172" s="79"/>
      <c r="C172" s="79"/>
      <c r="D172" s="286"/>
      <c r="E172" s="79"/>
      <c r="F172" s="286"/>
      <c r="G172" s="313"/>
    </row>
    <row r="173" spans="1:7" ht="11.25">
      <c r="A173" s="414" t="s">
        <v>315</v>
      </c>
      <c r="B173" s="79"/>
      <c r="C173" s="320"/>
      <c r="D173" s="434">
        <f>$C173/$C$178*100</f>
        <v>0</v>
      </c>
      <c r="E173" s="320"/>
      <c r="F173" s="360">
        <f>$E173/$E$178*100</f>
        <v>0</v>
      </c>
      <c r="G173" s="386" t="e">
        <f>E173/C173*100</f>
        <v>#DIV/0!</v>
      </c>
    </row>
    <row r="174" spans="1:7" ht="12" thickBot="1">
      <c r="A174" s="414" t="s">
        <v>316</v>
      </c>
      <c r="B174" s="79"/>
      <c r="C174" s="335">
        <v>22000</v>
      </c>
      <c r="D174" s="432">
        <f>$C174/$C$178*100</f>
        <v>0.6803277341556789</v>
      </c>
      <c r="E174" s="335">
        <v>22000</v>
      </c>
      <c r="F174" s="362">
        <f>$E174/$E$178*100</f>
        <v>0.6726315670723637</v>
      </c>
      <c r="G174" s="388">
        <f>E174/C174*100</f>
        <v>100</v>
      </c>
    </row>
    <row r="175" spans="1:7" ht="12" thickBot="1">
      <c r="A175" s="79"/>
      <c r="B175" s="79"/>
      <c r="C175" s="335"/>
      <c r="D175" s="530"/>
      <c r="E175" s="335"/>
      <c r="F175" s="429"/>
      <c r="G175" s="388"/>
    </row>
    <row r="176" spans="1:7" ht="12" thickBot="1">
      <c r="A176" s="302">
        <v>71</v>
      </c>
      <c r="B176" s="79"/>
      <c r="C176" s="534">
        <f>+SUM(C173:C174)</f>
        <v>22000</v>
      </c>
      <c r="D176" s="525">
        <f>$C176/$C$178*100</f>
        <v>0.6803277341556789</v>
      </c>
      <c r="E176" s="534">
        <f>+SUM(E173:E174)</f>
        <v>22000</v>
      </c>
      <c r="F176" s="363">
        <f>$E176/$E$178*100</f>
        <v>0.6726315670723637</v>
      </c>
      <c r="G176" s="389">
        <f>E176/C176*100</f>
        <v>100</v>
      </c>
    </row>
    <row r="177" spans="1:7" s="321" customFormat="1" ht="12" thickBot="1">
      <c r="A177" s="416"/>
      <c r="B177" s="416"/>
      <c r="C177" s="329"/>
      <c r="D177" s="336"/>
      <c r="E177" s="329"/>
      <c r="F177" s="336"/>
      <c r="G177" s="313"/>
    </row>
    <row r="178" spans="1:7" ht="12" thickBot="1">
      <c r="A178" s="79"/>
      <c r="B178" s="316" t="s">
        <v>102</v>
      </c>
      <c r="C178" s="317">
        <f>C37+C89+C91+C104+C106+C154+C163+C171+C176+C177</f>
        <v>3233735.58</v>
      </c>
      <c r="D178" s="525">
        <f>$C178/$C$178*100</f>
        <v>100</v>
      </c>
      <c r="E178" s="317">
        <f>+SUM(E171,E154,E106,E104,E91,E89,E37,E173,E174,E163)</f>
        <v>3270735.5820000004</v>
      </c>
      <c r="F178" s="525">
        <f>$E178/$E$178*100</f>
        <v>100</v>
      </c>
      <c r="G178" s="389">
        <f>E178/C178*100</f>
        <v>101.14418761474617</v>
      </c>
    </row>
    <row r="179" spans="1:7" ht="11.25">
      <c r="A179" s="79"/>
      <c r="B179" s="416" t="s">
        <v>415</v>
      </c>
      <c r="C179" s="329">
        <v>40000</v>
      </c>
      <c r="D179" s="305"/>
      <c r="E179" s="329">
        <v>0</v>
      </c>
      <c r="F179" s="187"/>
      <c r="G179" s="337"/>
    </row>
    <row r="180" ht="11.25">
      <c r="A180" s="79"/>
    </row>
    <row r="181" spans="2:5" ht="11.25">
      <c r="B181" s="161" t="s">
        <v>324</v>
      </c>
      <c r="C181" s="169">
        <f>C178-C179</f>
        <v>3193735.58</v>
      </c>
      <c r="E181" s="169">
        <f>E178-E179</f>
        <v>3270735.5820000004</v>
      </c>
    </row>
    <row r="182" ht="11.25">
      <c r="C182" s="122"/>
    </row>
    <row r="183" ht="11.25">
      <c r="C183" s="122"/>
    </row>
    <row r="184" ht="11.25">
      <c r="C184" s="122"/>
    </row>
    <row r="185" ht="11.25">
      <c r="C185" s="122"/>
    </row>
    <row r="189" ht="11.25">
      <c r="E189" s="169" t="e">
        <f>E178+'PJ-PiJP-rashod-ok'!#REF!+'PJ-GiPU-rashod-ok'!#REF!+'PJ PARKING RASHOD'!#REF!+'PJ-ZS-rashod-ok'!#REF!</f>
        <v>#REF!</v>
      </c>
    </row>
    <row r="200" ht="11.25">
      <c r="C200" s="122"/>
    </row>
    <row r="223" spans="6:7" ht="11.25">
      <c r="F223" s="182"/>
      <c r="G223" s="338"/>
    </row>
    <row r="224" spans="2:7" ht="11.25">
      <c r="B224" s="339"/>
      <c r="C224" s="20"/>
      <c r="F224" s="182"/>
      <c r="G224" s="338"/>
    </row>
    <row r="225" spans="2:7" ht="11.25">
      <c r="B225" s="339"/>
      <c r="F225" s="182"/>
      <c r="G225" s="169"/>
    </row>
    <row r="226" spans="3:7" ht="11.25">
      <c r="C226" s="324"/>
      <c r="D226" s="340"/>
      <c r="F226" s="182"/>
      <c r="G226" s="169"/>
    </row>
    <row r="227" spans="6:7" ht="11.25">
      <c r="F227" s="182"/>
      <c r="G227" s="169"/>
    </row>
    <row r="228" spans="3:7" ht="11.25">
      <c r="C228" s="324"/>
      <c r="D228" s="341"/>
      <c r="F228" s="182"/>
      <c r="G228" s="169"/>
    </row>
    <row r="229" spans="1:2" ht="11.25">
      <c r="A229" s="342"/>
      <c r="B229" s="343"/>
    </row>
    <row r="230" ht="11.25">
      <c r="C230" s="324"/>
    </row>
    <row r="231" spans="2:7" ht="11.25">
      <c r="B231" s="20"/>
      <c r="C231" s="344"/>
      <c r="D231" s="20"/>
      <c r="E231" s="20"/>
      <c r="F231" s="20"/>
      <c r="G231" s="20"/>
    </row>
    <row r="257" ht="11.25">
      <c r="G257" s="182"/>
    </row>
    <row r="258" ht="11.25">
      <c r="G258" s="182"/>
    </row>
    <row r="259" ht="11.25">
      <c r="G259" s="182"/>
    </row>
    <row r="260" ht="11.25">
      <c r="G260" s="182"/>
    </row>
    <row r="261" ht="11.25">
      <c r="G261" s="182"/>
    </row>
    <row r="262" ht="11.25">
      <c r="G262" s="182"/>
    </row>
    <row r="263" ht="11.25">
      <c r="G263" s="182"/>
    </row>
    <row r="264" ht="11.25">
      <c r="G264" s="182"/>
    </row>
    <row r="265" ht="11.25">
      <c r="G265" s="182"/>
    </row>
    <row r="266" ht="11.25">
      <c r="G266" s="182"/>
    </row>
    <row r="267" ht="11.25">
      <c r="G267" s="182"/>
    </row>
    <row r="268" ht="11.25">
      <c r="G268" s="182"/>
    </row>
    <row r="269" ht="11.25">
      <c r="G269" s="182"/>
    </row>
    <row r="270" ht="11.25">
      <c r="G270" s="182"/>
    </row>
    <row r="271" ht="11.25">
      <c r="G271" s="182"/>
    </row>
    <row r="272" ht="11.25">
      <c r="G272" s="182"/>
    </row>
    <row r="273" ht="11.25">
      <c r="G273" s="182"/>
    </row>
    <row r="274" ht="11.25">
      <c r="G274" s="182"/>
    </row>
    <row r="275" ht="11.25">
      <c r="G275" s="182"/>
    </row>
    <row r="276" ht="11.25">
      <c r="G276" s="182"/>
    </row>
    <row r="277" ht="11.25">
      <c r="G277" s="182"/>
    </row>
    <row r="278" ht="11.25">
      <c r="G278" s="182"/>
    </row>
    <row r="279" ht="11.25">
      <c r="G279" s="182"/>
    </row>
    <row r="280" ht="11.25">
      <c r="G280" s="182"/>
    </row>
    <row r="281" ht="11.25">
      <c r="G281" s="182"/>
    </row>
    <row r="282" ht="11.25">
      <c r="G282" s="182"/>
    </row>
    <row r="283" ht="11.25">
      <c r="G283" s="182"/>
    </row>
    <row r="284" ht="11.25">
      <c r="G284" s="182"/>
    </row>
    <row r="285" ht="11.25">
      <c r="G285" s="182"/>
    </row>
    <row r="286" ht="11.25">
      <c r="G286" s="182"/>
    </row>
    <row r="287" ht="11.25">
      <c r="G287" s="182"/>
    </row>
    <row r="288" ht="11.25">
      <c r="G288" s="182"/>
    </row>
    <row r="289" ht="11.25">
      <c r="G289" s="182"/>
    </row>
    <row r="290" ht="11.25">
      <c r="G290" s="182"/>
    </row>
    <row r="291" ht="11.25">
      <c r="G291" s="182"/>
    </row>
    <row r="292" ht="11.25">
      <c r="G292" s="182"/>
    </row>
    <row r="293" ht="11.25">
      <c r="G293" s="182"/>
    </row>
    <row r="294" ht="11.25">
      <c r="G294" s="182"/>
    </row>
    <row r="295" ht="11.25">
      <c r="G295" s="182"/>
    </row>
    <row r="296" ht="11.25">
      <c r="G296" s="182"/>
    </row>
    <row r="297" ht="11.25">
      <c r="G297" s="182"/>
    </row>
    <row r="298" ht="11.25">
      <c r="G298" s="182"/>
    </row>
    <row r="299" ht="11.25">
      <c r="G299" s="182"/>
    </row>
    <row r="300" ht="11.25">
      <c r="G300" s="182"/>
    </row>
    <row r="301" ht="11.25">
      <c r="G301" s="182"/>
    </row>
    <row r="302" ht="11.25">
      <c r="G302" s="182"/>
    </row>
    <row r="303" ht="11.25">
      <c r="G303" s="182"/>
    </row>
    <row r="304" ht="11.25">
      <c r="G304" s="182"/>
    </row>
    <row r="305" ht="11.25">
      <c r="G305" s="182"/>
    </row>
    <row r="306" ht="11.25">
      <c r="G306" s="182"/>
    </row>
    <row r="307" ht="11.25">
      <c r="G307" s="182"/>
    </row>
    <row r="308" ht="11.25">
      <c r="G308" s="182"/>
    </row>
    <row r="309" ht="11.25">
      <c r="G309" s="182"/>
    </row>
    <row r="310" ht="11.25">
      <c r="G310" s="182"/>
    </row>
    <row r="311" ht="11.25">
      <c r="G311" s="182"/>
    </row>
    <row r="312" ht="11.25">
      <c r="G312" s="182"/>
    </row>
    <row r="313" ht="11.25">
      <c r="G313" s="182"/>
    </row>
    <row r="314" ht="11.25">
      <c r="G314" s="182"/>
    </row>
    <row r="315" ht="11.25">
      <c r="G315" s="182"/>
    </row>
    <row r="316" ht="11.25">
      <c r="G316" s="182"/>
    </row>
    <row r="317" ht="11.25">
      <c r="G317" s="182"/>
    </row>
    <row r="318" ht="11.25">
      <c r="G318" s="182"/>
    </row>
    <row r="319" ht="11.25">
      <c r="G319" s="182"/>
    </row>
    <row r="320" ht="11.25">
      <c r="G320" s="182"/>
    </row>
    <row r="321" ht="11.25">
      <c r="G321" s="182"/>
    </row>
    <row r="322" ht="11.25">
      <c r="G322" s="182"/>
    </row>
    <row r="323" ht="11.25">
      <c r="G323" s="182"/>
    </row>
    <row r="324" ht="11.25">
      <c r="G324" s="182"/>
    </row>
    <row r="325" ht="11.25">
      <c r="G325" s="182"/>
    </row>
    <row r="326" ht="11.25">
      <c r="G326" s="182"/>
    </row>
    <row r="327" ht="11.25">
      <c r="G327" s="182"/>
    </row>
    <row r="328" ht="11.25">
      <c r="G328" s="182"/>
    </row>
    <row r="329" ht="11.25">
      <c r="G329" s="182"/>
    </row>
    <row r="330" ht="11.25">
      <c r="G330" s="182"/>
    </row>
    <row r="331" ht="11.25">
      <c r="G331" s="182"/>
    </row>
    <row r="332" ht="11.25">
      <c r="G332" s="182"/>
    </row>
    <row r="333" ht="11.25">
      <c r="G333" s="182"/>
    </row>
    <row r="334" ht="11.25">
      <c r="G334" s="182"/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  <row r="349" ht="11.25">
      <c r="G349" s="182"/>
    </row>
    <row r="350" ht="11.25">
      <c r="G350" s="182"/>
    </row>
    <row r="351" ht="11.25">
      <c r="G351" s="182"/>
    </row>
    <row r="352" ht="11.25">
      <c r="G352" s="182"/>
    </row>
    <row r="353" ht="11.25">
      <c r="G353" s="182"/>
    </row>
    <row r="354" ht="11.25">
      <c r="G354" s="182"/>
    </row>
    <row r="355" ht="11.25">
      <c r="G355" s="182"/>
    </row>
    <row r="356" ht="11.25">
      <c r="G356" s="182"/>
    </row>
    <row r="357" ht="11.25">
      <c r="G357" s="182"/>
    </row>
    <row r="358" ht="11.25">
      <c r="G358" s="182"/>
    </row>
    <row r="359" ht="11.25">
      <c r="G359" s="182"/>
    </row>
    <row r="360" ht="11.25">
      <c r="G360" s="182"/>
    </row>
    <row r="361" ht="11.25">
      <c r="G361" s="182"/>
    </row>
    <row r="362" ht="11.25">
      <c r="G362" s="182"/>
    </row>
    <row r="363" ht="11.25">
      <c r="G363" s="182"/>
    </row>
    <row r="364" ht="11.25">
      <c r="G364" s="182"/>
    </row>
    <row r="365" ht="11.25">
      <c r="G365" s="182"/>
    </row>
    <row r="366" ht="11.25">
      <c r="G366" s="182"/>
    </row>
    <row r="367" ht="11.25">
      <c r="G367" s="182"/>
    </row>
    <row r="368" ht="11.25">
      <c r="G368" s="182"/>
    </row>
    <row r="369" ht="11.25">
      <c r="G369" s="182"/>
    </row>
    <row r="370" ht="11.25">
      <c r="G370" s="182"/>
    </row>
    <row r="371" ht="11.25">
      <c r="G371" s="182"/>
    </row>
  </sheetData>
  <sheetProtection/>
  <hyperlinks>
    <hyperlink ref="B6" r:id="rId1" display="www.ivanj.net"/>
    <hyperlink ref="B63" r:id="rId2" display="www.ivanj.net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275"/>
  <sheetViews>
    <sheetView zoomScaleSheetLayoutView="100" zoomScalePageLayoutView="0" workbookViewId="0" topLeftCell="A43">
      <selection activeCell="I17" sqref="C17:I17"/>
    </sheetView>
  </sheetViews>
  <sheetFormatPr defaultColWidth="9.140625" defaultRowHeight="12.75"/>
  <cols>
    <col min="1" max="1" width="7.00390625" style="0" customWidth="1"/>
    <col min="2" max="2" width="17.7109375" style="0" customWidth="1"/>
    <col min="3" max="4" width="10.8515625" style="0" customWidth="1"/>
    <col min="5" max="6" width="11.00390625" style="0" bestFit="1" customWidth="1"/>
    <col min="7" max="7" width="11.00390625" style="0" customWidth="1"/>
    <col min="8" max="11" width="8.140625" style="0" bestFit="1" customWidth="1"/>
    <col min="14" max="14" width="10.140625" style="0" bestFit="1" customWidth="1"/>
    <col min="15" max="15" width="10.140625" style="16" customWidth="1"/>
  </cols>
  <sheetData>
    <row r="1" spans="1:10" ht="13.5">
      <c r="A1" s="34"/>
      <c r="B1" s="35" t="s">
        <v>166</v>
      </c>
      <c r="C1" s="34"/>
      <c r="D1" s="34"/>
      <c r="E1" s="34"/>
      <c r="F1" s="34" t="s">
        <v>167</v>
      </c>
      <c r="J1" s="50" t="s">
        <v>175</v>
      </c>
    </row>
    <row r="2" spans="1:6" ht="13.5">
      <c r="A2" s="34"/>
      <c r="B2" s="37" t="s">
        <v>33</v>
      </c>
      <c r="C2" s="34" t="s">
        <v>218</v>
      </c>
      <c r="D2" s="34"/>
      <c r="E2" s="34"/>
      <c r="F2" s="34"/>
    </row>
    <row r="3" spans="1:6" ht="13.5">
      <c r="A3" s="162"/>
      <c r="B3" s="37" t="s">
        <v>34</v>
      </c>
      <c r="C3" s="34" t="s">
        <v>219</v>
      </c>
      <c r="D3" s="34"/>
      <c r="E3" s="34"/>
      <c r="F3" s="34"/>
    </row>
    <row r="4" spans="1:9" ht="18">
      <c r="A4" s="34"/>
      <c r="B4" s="38" t="s">
        <v>35</v>
      </c>
      <c r="C4" s="34" t="s">
        <v>220</v>
      </c>
      <c r="D4" s="34"/>
      <c r="E4" s="34"/>
      <c r="F4" s="34"/>
      <c r="G4" s="2"/>
      <c r="H4" s="2"/>
      <c r="I4" s="2"/>
    </row>
    <row r="5" spans="1:9" ht="13.5">
      <c r="A5" s="34"/>
      <c r="B5" s="34"/>
      <c r="C5" s="34" t="s">
        <v>378</v>
      </c>
      <c r="D5" s="34"/>
      <c r="E5" s="34"/>
      <c r="F5" s="34"/>
      <c r="G5" s="15"/>
      <c r="H5" s="15"/>
      <c r="I5" s="15"/>
    </row>
    <row r="6" spans="2:9" ht="13.5">
      <c r="B6" s="34"/>
      <c r="C6" s="34"/>
      <c r="D6" s="34"/>
      <c r="E6" s="1"/>
      <c r="F6" s="1"/>
      <c r="G6" s="15"/>
      <c r="H6" s="15"/>
      <c r="I6" s="15"/>
    </row>
    <row r="7" spans="1:9" ht="13.5">
      <c r="A7" s="34"/>
      <c r="B7" s="34"/>
      <c r="C7" s="37"/>
      <c r="D7" s="34"/>
      <c r="E7" s="1"/>
      <c r="F7" s="1"/>
      <c r="G7" s="15"/>
      <c r="H7" s="15"/>
      <c r="I7" s="15"/>
    </row>
    <row r="8" spans="1:9" ht="13.5">
      <c r="A8" s="34"/>
      <c r="B8" s="34"/>
      <c r="C8" s="37"/>
      <c r="D8" s="34"/>
      <c r="E8" s="1"/>
      <c r="F8" s="1"/>
      <c r="G8" s="15"/>
      <c r="H8" s="15"/>
      <c r="I8" s="15"/>
    </row>
    <row r="9" spans="1:9" ht="16.5">
      <c r="A9" s="34"/>
      <c r="B9" s="39" t="s">
        <v>374</v>
      </c>
      <c r="C9" s="34"/>
      <c r="D9" s="34"/>
      <c r="E9" s="1"/>
      <c r="F9" s="1"/>
      <c r="G9" s="15"/>
      <c r="H9" s="15"/>
      <c r="I9" s="15"/>
    </row>
    <row r="10" spans="1:9" ht="13.5">
      <c r="A10" s="34"/>
      <c r="B10" s="40"/>
      <c r="C10" s="34"/>
      <c r="D10" s="34"/>
      <c r="E10" s="1"/>
      <c r="F10" s="1"/>
      <c r="G10" s="15"/>
      <c r="H10" s="15"/>
      <c r="I10" s="15"/>
    </row>
    <row r="11" spans="1:9" ht="13.5">
      <c r="A11" s="34"/>
      <c r="B11" s="92" t="s">
        <v>146</v>
      </c>
      <c r="C11" s="35"/>
      <c r="D11" s="35"/>
      <c r="E11" s="93"/>
      <c r="F11" s="93"/>
      <c r="G11" s="15"/>
      <c r="H11" s="15"/>
      <c r="I11" s="15"/>
    </row>
    <row r="12" spans="1:9" ht="13.5">
      <c r="A12" s="34"/>
      <c r="B12" s="40"/>
      <c r="C12" s="34"/>
      <c r="D12" s="34"/>
      <c r="E12" s="1"/>
      <c r="F12" s="1"/>
      <c r="G12" s="15"/>
      <c r="H12" s="15"/>
      <c r="I12" s="15"/>
    </row>
    <row r="13" spans="1:6" ht="14.25" thickBot="1">
      <c r="A13" s="35"/>
      <c r="B13" s="35"/>
      <c r="C13" s="398"/>
      <c r="D13" s="41"/>
      <c r="E13" s="34"/>
      <c r="F13" s="34"/>
    </row>
    <row r="14" spans="1:16" s="350" customFormat="1" ht="12">
      <c r="A14" s="347"/>
      <c r="B14" s="348"/>
      <c r="C14" s="583" t="s">
        <v>32</v>
      </c>
      <c r="D14" s="583" t="s">
        <v>32</v>
      </c>
      <c r="E14" s="583" t="s">
        <v>32</v>
      </c>
      <c r="F14" s="584" t="s">
        <v>32</v>
      </c>
      <c r="G14" s="585" t="s">
        <v>32</v>
      </c>
      <c r="H14" s="585" t="s">
        <v>32</v>
      </c>
      <c r="I14" s="585" t="s">
        <v>32</v>
      </c>
      <c r="J14" s="585" t="s">
        <v>32</v>
      </c>
      <c r="K14" s="349"/>
      <c r="P14" s="351"/>
    </row>
    <row r="15" spans="1:16" s="350" customFormat="1" ht="12">
      <c r="A15" s="255"/>
      <c r="B15" s="256"/>
      <c r="C15" s="586" t="s">
        <v>129</v>
      </c>
      <c r="D15" s="587" t="s">
        <v>153</v>
      </c>
      <c r="E15" s="587" t="s">
        <v>189</v>
      </c>
      <c r="F15" s="587" t="s">
        <v>204</v>
      </c>
      <c r="G15" s="588" t="s">
        <v>214</v>
      </c>
      <c r="H15" s="588" t="s">
        <v>221</v>
      </c>
      <c r="I15" s="588" t="s">
        <v>363</v>
      </c>
      <c r="J15" s="588" t="s">
        <v>382</v>
      </c>
      <c r="K15" s="274"/>
      <c r="P15" s="351"/>
    </row>
    <row r="16" spans="1:16" s="350" customFormat="1" ht="12.75">
      <c r="A16" s="251"/>
      <c r="B16" s="277"/>
      <c r="C16" s="589"/>
      <c r="D16" s="589"/>
      <c r="E16" s="589"/>
      <c r="F16" s="590"/>
      <c r="G16" s="590"/>
      <c r="H16" s="590"/>
      <c r="I16" s="590"/>
      <c r="J16" s="591"/>
      <c r="K16" s="352"/>
      <c r="N16" s="144"/>
      <c r="O16" s="353"/>
      <c r="P16" s="354"/>
    </row>
    <row r="17" spans="1:16" s="350" customFormat="1" ht="12">
      <c r="A17" s="255" t="s">
        <v>29</v>
      </c>
      <c r="B17" s="256"/>
      <c r="C17" s="592">
        <v>17496000</v>
      </c>
      <c r="D17" s="593">
        <v>16377912</v>
      </c>
      <c r="E17" s="593">
        <v>16476536</v>
      </c>
      <c r="F17" s="593">
        <v>16754254</v>
      </c>
      <c r="G17" s="594">
        <v>13380717</v>
      </c>
      <c r="H17" s="594">
        <v>14382417</v>
      </c>
      <c r="I17" s="594">
        <v>14460262</v>
      </c>
      <c r="J17" s="594">
        <f>+'Financijski plan-naslov-2017-OK'!F41</f>
        <v>17400917</v>
      </c>
      <c r="K17" s="173"/>
      <c r="N17" s="353"/>
      <c r="O17" s="353"/>
      <c r="P17" s="354"/>
    </row>
    <row r="18" spans="1:16" s="350" customFormat="1" ht="12">
      <c r="A18" s="255"/>
      <c r="B18" s="256"/>
      <c r="C18" s="592"/>
      <c r="D18" s="593"/>
      <c r="E18" s="593"/>
      <c r="F18" s="593"/>
      <c r="G18" s="594"/>
      <c r="H18" s="594"/>
      <c r="I18" s="594"/>
      <c r="J18" s="594"/>
      <c r="K18" s="352"/>
      <c r="N18" s="353"/>
      <c r="O18" s="353"/>
      <c r="P18" s="354"/>
    </row>
    <row r="19" spans="1:16" s="350" customFormat="1" ht="12">
      <c r="A19" s="255" t="s">
        <v>30</v>
      </c>
      <c r="B19" s="256"/>
      <c r="C19" s="592">
        <v>17442105</v>
      </c>
      <c r="D19" s="593">
        <v>16341354</v>
      </c>
      <c r="E19" s="593">
        <v>16378546</v>
      </c>
      <c r="F19" s="593">
        <v>16719100</v>
      </c>
      <c r="G19" s="594">
        <v>13366777</v>
      </c>
      <c r="H19" s="594">
        <v>14335598</v>
      </c>
      <c r="I19" s="594">
        <v>14402430</v>
      </c>
      <c r="J19" s="594">
        <f>+'Financijski plan-naslov-2017-OK'!F42</f>
        <v>17383358.5955</v>
      </c>
      <c r="K19" s="173"/>
      <c r="N19" s="353"/>
      <c r="O19" s="353"/>
      <c r="P19" s="354"/>
    </row>
    <row r="20" spans="1:16" s="350" customFormat="1" ht="12">
      <c r="A20" s="255"/>
      <c r="B20" s="256"/>
      <c r="C20" s="592"/>
      <c r="D20" s="593"/>
      <c r="E20" s="593"/>
      <c r="F20" s="593"/>
      <c r="G20" s="594"/>
      <c r="H20" s="594"/>
      <c r="I20" s="594"/>
      <c r="J20" s="594"/>
      <c r="K20" s="352"/>
      <c r="N20" s="353"/>
      <c r="O20" s="353"/>
      <c r="P20" s="354"/>
    </row>
    <row r="21" spans="1:16" s="350" customFormat="1" ht="12">
      <c r="A21" s="255" t="s">
        <v>88</v>
      </c>
      <c r="B21" s="256"/>
      <c r="C21" s="592">
        <v>53895</v>
      </c>
      <c r="D21" s="593">
        <v>36558</v>
      </c>
      <c r="E21" s="593">
        <v>97990</v>
      </c>
      <c r="F21" s="593">
        <v>35154</v>
      </c>
      <c r="G21" s="594">
        <f>G17-G19</f>
        <v>13940</v>
      </c>
      <c r="H21" s="594">
        <f>H17-H19</f>
        <v>46819</v>
      </c>
      <c r="I21" s="594">
        <v>46819</v>
      </c>
      <c r="J21" s="594">
        <f>+'Financijski plan-naslov-2017-OK'!F44</f>
        <v>17558.40450000018</v>
      </c>
      <c r="K21" s="173"/>
      <c r="N21" s="353"/>
      <c r="O21" s="353"/>
      <c r="P21" s="354"/>
    </row>
    <row r="22" spans="1:16" s="350" customFormat="1" ht="12">
      <c r="A22" s="255"/>
      <c r="B22" s="256"/>
      <c r="C22" s="592"/>
      <c r="D22" s="593"/>
      <c r="E22" s="593"/>
      <c r="F22" s="593"/>
      <c r="G22" s="593"/>
      <c r="H22" s="593"/>
      <c r="I22" s="593"/>
      <c r="J22" s="594"/>
      <c r="K22" s="352"/>
      <c r="N22" s="353"/>
      <c r="O22" s="353"/>
      <c r="P22" s="354"/>
    </row>
    <row r="23" spans="1:16" s="350" customFormat="1" ht="12">
      <c r="A23" s="255" t="s">
        <v>31</v>
      </c>
      <c r="B23" s="256"/>
      <c r="C23" s="592"/>
      <c r="D23" s="593"/>
      <c r="E23" s="593"/>
      <c r="F23" s="593"/>
      <c r="G23" s="593"/>
      <c r="H23" s="593"/>
      <c r="I23" s="593"/>
      <c r="J23" s="594"/>
      <c r="K23" s="352"/>
      <c r="N23" s="353"/>
      <c r="O23" s="353"/>
      <c r="P23" s="354"/>
    </row>
    <row r="24" spans="1:16" s="350" customFormat="1" ht="12">
      <c r="A24" s="255"/>
      <c r="B24" s="256"/>
      <c r="C24" s="592"/>
      <c r="D24" s="593"/>
      <c r="E24" s="593"/>
      <c r="F24" s="593"/>
      <c r="G24" s="593"/>
      <c r="H24" s="593"/>
      <c r="I24" s="593"/>
      <c r="J24" s="594"/>
      <c r="K24" s="352"/>
      <c r="N24" s="353"/>
      <c r="O24" s="353"/>
      <c r="P24" s="354"/>
    </row>
    <row r="25" spans="1:16" s="350" customFormat="1" ht="12">
      <c r="A25" s="255" t="s">
        <v>87</v>
      </c>
      <c r="B25" s="256"/>
      <c r="C25" s="592"/>
      <c r="D25" s="593"/>
      <c r="E25" s="593"/>
      <c r="F25" s="593"/>
      <c r="G25" s="593"/>
      <c r="H25" s="593"/>
      <c r="I25" s="593"/>
      <c r="J25" s="594"/>
      <c r="K25" s="352"/>
      <c r="N25" s="353"/>
      <c r="O25" s="353"/>
      <c r="P25" s="354"/>
    </row>
    <row r="26" spans="1:16" s="350" customFormat="1" ht="12">
      <c r="A26" s="255"/>
      <c r="B26" s="256"/>
      <c r="C26" s="592"/>
      <c r="D26" s="593"/>
      <c r="E26" s="593"/>
      <c r="F26" s="593"/>
      <c r="G26" s="593"/>
      <c r="H26" s="593"/>
      <c r="I26" s="593"/>
      <c r="J26" s="594"/>
      <c r="K26" s="352"/>
      <c r="N26" s="353"/>
      <c r="O26" s="353"/>
      <c r="P26" s="354"/>
    </row>
    <row r="27" spans="1:16" s="350" customFormat="1" ht="12">
      <c r="A27" s="255" t="s">
        <v>132</v>
      </c>
      <c r="B27" s="256"/>
      <c r="C27" s="595">
        <v>62</v>
      </c>
      <c r="D27" s="596">
        <v>65</v>
      </c>
      <c r="E27" s="596">
        <v>65</v>
      </c>
      <c r="F27" s="596">
        <v>65</v>
      </c>
      <c r="G27" s="596">
        <v>58</v>
      </c>
      <c r="H27" s="596">
        <v>58</v>
      </c>
      <c r="I27" s="596">
        <v>57</v>
      </c>
      <c r="J27" s="596">
        <v>59</v>
      </c>
      <c r="K27" s="352"/>
      <c r="N27" s="353"/>
      <c r="O27" s="353"/>
      <c r="P27" s="354"/>
    </row>
    <row r="28" spans="1:16" s="350" customFormat="1" ht="12">
      <c r="A28" s="255"/>
      <c r="B28" s="256"/>
      <c r="C28" s="592"/>
      <c r="D28" s="593"/>
      <c r="E28" s="593"/>
      <c r="F28" s="593"/>
      <c r="G28" s="593"/>
      <c r="H28" s="593"/>
      <c r="I28" s="593"/>
      <c r="J28" s="594"/>
      <c r="K28" s="352"/>
      <c r="N28" s="353"/>
      <c r="O28" s="353"/>
      <c r="P28" s="354"/>
    </row>
    <row r="29" spans="1:16" s="350" customFormat="1" ht="12">
      <c r="A29" s="255" t="s">
        <v>86</v>
      </c>
      <c r="B29" s="256"/>
      <c r="C29" s="595">
        <v>869.27</v>
      </c>
      <c r="D29" s="596">
        <f>D21/D27</f>
        <v>562.4307692307692</v>
      </c>
      <c r="E29" s="596">
        <f>E21/E27</f>
        <v>1507.5384615384614</v>
      </c>
      <c r="F29" s="596">
        <f>F21/F27</f>
        <v>540.8307692307692</v>
      </c>
      <c r="G29" s="596">
        <f>G21/G27</f>
        <v>240.3448275862069</v>
      </c>
      <c r="H29" s="596">
        <f>H21/H27</f>
        <v>807.2241379310345</v>
      </c>
      <c r="I29" s="596">
        <f>+I21/I27</f>
        <v>821.3859649122807</v>
      </c>
      <c r="J29" s="596">
        <f>+J21/J27</f>
        <v>297.6000762711895</v>
      </c>
      <c r="K29" s="174"/>
      <c r="N29" s="353"/>
      <c r="O29" s="353"/>
      <c r="P29" s="354"/>
    </row>
    <row r="30" spans="1:16" s="350" customFormat="1" ht="12.75" thickBot="1">
      <c r="A30" s="273"/>
      <c r="B30" s="355"/>
      <c r="C30" s="597"/>
      <c r="D30" s="597"/>
      <c r="E30" s="598"/>
      <c r="F30" s="598"/>
      <c r="G30" s="598"/>
      <c r="H30" s="598"/>
      <c r="I30" s="598"/>
      <c r="J30" s="599"/>
      <c r="N30" s="353"/>
      <c r="O30" s="353"/>
      <c r="P30" s="354"/>
    </row>
    <row r="31" spans="3:15" ht="12.75">
      <c r="C31" s="4"/>
      <c r="D31" s="1"/>
      <c r="N31" s="1"/>
      <c r="O31" s="15"/>
    </row>
    <row r="32" spans="3:15" ht="12.75">
      <c r="C32" s="4"/>
      <c r="D32" s="1"/>
      <c r="N32" s="1"/>
      <c r="O32" s="15"/>
    </row>
    <row r="33" spans="3:15" ht="12.75">
      <c r="C33" s="4"/>
      <c r="D33" s="1"/>
      <c r="N33" s="1"/>
      <c r="O33" s="15"/>
    </row>
    <row r="34" spans="3:15" ht="12.75">
      <c r="C34" s="4"/>
      <c r="D34" s="1"/>
      <c r="N34" s="1"/>
      <c r="O34" s="15"/>
    </row>
    <row r="35" spans="3:15" ht="12.75">
      <c r="C35" s="4"/>
      <c r="D35" s="1"/>
      <c r="N35" s="1"/>
      <c r="O35" s="15"/>
    </row>
    <row r="36" spans="2:15" ht="13.5">
      <c r="B36" s="276" t="s">
        <v>89</v>
      </c>
      <c r="C36" s="160"/>
      <c r="D36" s="1"/>
      <c r="F36" s="160"/>
      <c r="G36" s="160"/>
      <c r="H36" s="160"/>
      <c r="I36" s="160"/>
      <c r="N36" s="1"/>
      <c r="O36" s="15"/>
    </row>
    <row r="37" spans="4:15" ht="12.75">
      <c r="D37" s="1"/>
      <c r="N37" s="1"/>
      <c r="O37" s="15"/>
    </row>
    <row r="38" spans="3:15" ht="12.75">
      <c r="C38" s="4"/>
      <c r="D38" s="1"/>
      <c r="N38" s="1"/>
      <c r="O38" s="15"/>
    </row>
    <row r="39" spans="2:15" ht="12.75">
      <c r="B39" s="1"/>
      <c r="M39" s="15"/>
      <c r="O39"/>
    </row>
    <row r="40" spans="2:15" ht="12.75">
      <c r="B40" s="1"/>
      <c r="M40" s="15"/>
      <c r="O40"/>
    </row>
    <row r="41" spans="2:15" ht="12.75">
      <c r="B41" s="1"/>
      <c r="M41" s="15"/>
      <c r="O41"/>
    </row>
    <row r="42" spans="2:15" ht="12.75">
      <c r="B42" s="1"/>
      <c r="M42" s="15"/>
      <c r="O42"/>
    </row>
    <row r="43" spans="2:15" ht="12.75">
      <c r="B43" s="1"/>
      <c r="M43" s="15"/>
      <c r="O43"/>
    </row>
    <row r="44" spans="2:15" ht="12.75">
      <c r="B44" s="1"/>
      <c r="M44" s="15"/>
      <c r="O44"/>
    </row>
    <row r="45" spans="3:15" ht="12.75">
      <c r="C45" s="4"/>
      <c r="D45" s="1"/>
      <c r="N45" s="1"/>
      <c r="O45" s="15"/>
    </row>
    <row r="46" spans="3:15" ht="12.75">
      <c r="C46" s="4"/>
      <c r="D46" s="1"/>
      <c r="N46" s="1"/>
      <c r="O46" s="15"/>
    </row>
    <row r="47" spans="3:15" ht="12.75">
      <c r="C47" s="4"/>
      <c r="D47" s="1"/>
      <c r="N47" s="1"/>
      <c r="O47" s="15"/>
    </row>
    <row r="48" spans="3:15" ht="12.75">
      <c r="C48" s="4"/>
      <c r="D48" s="1"/>
      <c r="M48" s="1"/>
      <c r="N48" s="1"/>
      <c r="O48" s="15"/>
    </row>
    <row r="49" spans="3:15" ht="12.75">
      <c r="C49" s="4"/>
      <c r="D49" s="1"/>
      <c r="N49" s="1"/>
      <c r="O49" s="15"/>
    </row>
    <row r="50" spans="3:15" ht="12.75">
      <c r="C50" s="4"/>
      <c r="D50" s="1"/>
      <c r="N50" s="1"/>
      <c r="O50" s="15"/>
    </row>
    <row r="51" spans="3:15" ht="12.75">
      <c r="C51" s="4"/>
      <c r="D51" s="1"/>
      <c r="N51" s="1"/>
      <c r="O51" s="15"/>
    </row>
    <row r="52" spans="3:15" ht="12.75">
      <c r="C52" s="4"/>
      <c r="D52" s="1"/>
      <c r="N52" s="1"/>
      <c r="O52" s="15"/>
    </row>
    <row r="53" spans="3:15" ht="12.75">
      <c r="C53" s="4"/>
      <c r="D53" s="1"/>
      <c r="N53" s="1"/>
      <c r="O53" s="15"/>
    </row>
    <row r="54" spans="3:15" ht="12.75">
      <c r="C54" s="4"/>
      <c r="D54" s="1"/>
      <c r="N54" s="1"/>
      <c r="O54" s="15"/>
    </row>
    <row r="55" spans="3:15" ht="12.75">
      <c r="C55" s="4"/>
      <c r="D55" s="1"/>
      <c r="N55" s="1"/>
      <c r="O55" s="15"/>
    </row>
    <row r="56" spans="3:15" ht="12.75">
      <c r="C56" s="4"/>
      <c r="D56" s="1"/>
      <c r="N56" s="1"/>
      <c r="O56" s="15"/>
    </row>
    <row r="57" spans="3:15" ht="12.75">
      <c r="C57" s="4"/>
      <c r="D57" s="169"/>
      <c r="N57" s="1"/>
      <c r="O57" s="15"/>
    </row>
    <row r="58" spans="3:15" ht="12.75">
      <c r="C58" s="4"/>
      <c r="D58" s="1"/>
      <c r="N58" s="1"/>
      <c r="O58" s="15"/>
    </row>
    <row r="59" ht="12.75">
      <c r="J59" s="6"/>
    </row>
    <row r="60" spans="5:10" ht="12.75">
      <c r="E60" s="7"/>
      <c r="F60" s="7"/>
      <c r="J60" s="6"/>
    </row>
    <row r="64" spans="5:10" ht="12.75">
      <c r="E64" s="7"/>
      <c r="F64" s="7"/>
      <c r="J64" s="6"/>
    </row>
    <row r="65" spans="5:10" ht="12.75">
      <c r="E65" s="7"/>
      <c r="F65" s="7"/>
      <c r="J65" s="6"/>
    </row>
    <row r="66" ht="12.75">
      <c r="A66" s="8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0" ht="12.75">
      <c r="A68" s="5"/>
      <c r="C68" s="5"/>
      <c r="E68" s="5"/>
      <c r="F68" s="5"/>
      <c r="J68" s="5"/>
    </row>
    <row r="71" spans="7:9" ht="12.75"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7" ht="12.75">
      <c r="K77" s="5"/>
    </row>
    <row r="78" spans="1:11" ht="12.75">
      <c r="A78" s="5"/>
      <c r="B78" s="5"/>
      <c r="E78" s="5"/>
      <c r="F78" s="5"/>
      <c r="G78" s="5"/>
      <c r="H78" s="5"/>
      <c r="I78" s="5"/>
      <c r="J78" s="5"/>
      <c r="K78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91" ht="12.75">
      <c r="A91" s="11"/>
    </row>
    <row r="93" spans="5:10" ht="12.75">
      <c r="E93" s="7"/>
      <c r="F93" s="7"/>
      <c r="J93" s="6"/>
    </row>
    <row r="95" spans="2:12" ht="12.75"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4:13" ht="12.75">
      <c r="D96" s="6"/>
      <c r="E96" s="6"/>
      <c r="F96" s="6"/>
      <c r="G96" s="10"/>
      <c r="H96" s="10"/>
      <c r="I96" s="10"/>
      <c r="J96" s="6"/>
      <c r="K96" s="8"/>
      <c r="L96" s="6"/>
      <c r="M96" s="6"/>
    </row>
    <row r="97" ht="12.75">
      <c r="K97" s="7"/>
    </row>
    <row r="98" ht="12.75">
      <c r="C98" s="6"/>
    </row>
    <row r="99" spans="4:10" ht="12.75">
      <c r="D99" s="5"/>
      <c r="E99" s="5"/>
      <c r="F99" s="5"/>
      <c r="G99" s="5"/>
      <c r="H99" s="5"/>
      <c r="I99" s="5"/>
      <c r="J99" s="5"/>
    </row>
    <row r="100" spans="2:10" ht="12.75">
      <c r="B100" s="4"/>
      <c r="D100" s="10"/>
      <c r="G100" s="8"/>
      <c r="H100" s="8"/>
      <c r="I100" s="8"/>
      <c r="J100" s="8"/>
    </row>
    <row r="102" spans="5:6" ht="12.75">
      <c r="E102" s="8"/>
      <c r="F102" s="8"/>
    </row>
    <row r="105" ht="12.75">
      <c r="B105" s="4"/>
    </row>
    <row r="106" ht="12.75">
      <c r="B106" s="4"/>
    </row>
    <row r="151" spans="1:2" ht="12.75">
      <c r="A151" s="8"/>
      <c r="B151" s="8"/>
    </row>
    <row r="152" spans="1:2" ht="12.75">
      <c r="A152" s="7"/>
      <c r="B152" s="7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1"/>
    </row>
    <row r="160" spans="5:10" ht="12.75">
      <c r="E160" s="7"/>
      <c r="F160" s="7"/>
      <c r="J160" s="6"/>
    </row>
    <row r="164" spans="10:13" ht="12.75">
      <c r="J164" s="6"/>
      <c r="K164" s="6"/>
      <c r="L164" s="6"/>
      <c r="M164" s="6"/>
    </row>
    <row r="168" ht="12.75">
      <c r="A168" s="7"/>
    </row>
    <row r="170" spans="2:13" ht="12.75">
      <c r="B170" s="8"/>
      <c r="C170" s="7"/>
      <c r="E170" s="6"/>
      <c r="F170" s="6"/>
      <c r="G170" s="7"/>
      <c r="H170" s="7"/>
      <c r="I170" s="7"/>
      <c r="K170" s="7"/>
      <c r="M170" s="7"/>
    </row>
    <row r="171" spans="2:9" ht="12.75">
      <c r="B171" s="7"/>
      <c r="C171" s="6"/>
      <c r="E171" s="6"/>
      <c r="F171" s="6"/>
      <c r="G171" s="6"/>
      <c r="H171" s="6"/>
      <c r="I171" s="6"/>
    </row>
    <row r="173" ht="12.75">
      <c r="A173" s="6"/>
    </row>
    <row r="175" ht="12.75">
      <c r="A175" s="12"/>
    </row>
    <row r="176" spans="5:6" ht="12.75">
      <c r="E176" s="7"/>
      <c r="F176" s="7"/>
    </row>
    <row r="177" spans="5:10" ht="12.75">
      <c r="E177" s="7"/>
      <c r="F177" s="7"/>
      <c r="J177" s="6"/>
    </row>
    <row r="179" spans="1:9" ht="12.75">
      <c r="A179" s="9"/>
      <c r="B179" s="1"/>
      <c r="C179" s="7"/>
      <c r="G179" s="6"/>
      <c r="H179" s="6"/>
      <c r="I179" s="6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spans="2:11" ht="12.75">
      <c r="B184" s="4"/>
      <c r="K184" s="6"/>
    </row>
    <row r="185" spans="2:13" ht="12.75">
      <c r="B185" s="10"/>
      <c r="D185" s="6"/>
      <c r="E185" s="6"/>
      <c r="F185" s="6"/>
      <c r="J185" s="6"/>
      <c r="K185" s="6"/>
      <c r="L185" s="6"/>
      <c r="M185" s="6"/>
    </row>
    <row r="193" spans="1:4" ht="12.75">
      <c r="A193" s="6"/>
      <c r="C193" s="6"/>
      <c r="D193" s="6"/>
    </row>
    <row r="196" spans="2:9" ht="12.75">
      <c r="B196" s="6"/>
      <c r="C196" s="6"/>
      <c r="D196" s="6"/>
      <c r="E196" s="6"/>
      <c r="F196" s="6"/>
      <c r="G196" s="6"/>
      <c r="H196" s="6"/>
      <c r="I196" s="6"/>
    </row>
    <row r="202" spans="1:10" ht="12.75">
      <c r="A202" s="6"/>
      <c r="J202" s="6"/>
    </row>
    <row r="204" ht="12.75">
      <c r="A204" s="13"/>
    </row>
    <row r="205" spans="5:6" ht="12.75">
      <c r="E205" s="7"/>
      <c r="F205" s="7"/>
    </row>
    <row r="208" spans="1:4" ht="12.75">
      <c r="A208" s="7"/>
      <c r="B208" s="7"/>
      <c r="C208" s="7"/>
      <c r="D208" s="7"/>
    </row>
    <row r="210" ht="12.75">
      <c r="B210" s="12"/>
    </row>
    <row r="212" spans="5:10" ht="12.75">
      <c r="E212" s="7"/>
      <c r="F212" s="7"/>
      <c r="J212" s="6"/>
    </row>
    <row r="214" spans="3:9" ht="12.75">
      <c r="C214" s="14"/>
      <c r="G214" s="8"/>
      <c r="H214" s="8"/>
      <c r="I214" s="8"/>
    </row>
    <row r="215" spans="1:13" ht="12.75">
      <c r="A215" s="1"/>
      <c r="B215" s="1"/>
      <c r="C215" s="1"/>
      <c r="D215" s="1"/>
      <c r="E215" s="7"/>
      <c r="F215" s="7"/>
      <c r="G215" s="7"/>
      <c r="H215" s="7"/>
      <c r="I215" s="7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7"/>
      <c r="C220" s="1"/>
      <c r="D220" s="7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7"/>
      <c r="B221" s="7"/>
      <c r="C221" s="1"/>
      <c r="D221" s="7"/>
      <c r="E221" s="1"/>
      <c r="F221" s="1"/>
      <c r="G221" s="1"/>
      <c r="H221" s="1"/>
      <c r="I221" s="1"/>
      <c r="J221" s="1"/>
      <c r="K221" s="1"/>
      <c r="L221" s="1"/>
      <c r="M221" s="7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7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7"/>
      <c r="L226" s="1"/>
      <c r="M226" s="1"/>
    </row>
    <row r="231" ht="12.75">
      <c r="A231" s="9"/>
    </row>
    <row r="234" spans="3:9" ht="12.75">
      <c r="C234" s="6"/>
      <c r="G234" s="1"/>
      <c r="H234" s="1"/>
      <c r="I234" s="1"/>
    </row>
    <row r="237" spans="7:9" ht="12.75">
      <c r="G237" s="1"/>
      <c r="H237" s="1"/>
      <c r="I237" s="1"/>
    </row>
    <row r="238" spans="7:9" ht="12.75">
      <c r="G238" s="1"/>
      <c r="H238" s="1"/>
      <c r="I238" s="1"/>
    </row>
    <row r="239" spans="7:9" ht="12.75">
      <c r="G239" s="1"/>
      <c r="H239" s="1"/>
      <c r="I239" s="1"/>
    </row>
    <row r="240" spans="7:9" ht="12.75">
      <c r="G240" s="1"/>
      <c r="H240" s="1"/>
      <c r="I240" s="1"/>
    </row>
    <row r="241" spans="7:9" ht="12.75">
      <c r="G241" s="1"/>
      <c r="H241" s="1"/>
      <c r="I241" s="1"/>
    </row>
    <row r="243" spans="5:10" ht="12.75">
      <c r="E243" s="7"/>
      <c r="F243" s="7"/>
      <c r="J243" s="6"/>
    </row>
    <row r="245" spans="2:11" ht="12.75">
      <c r="B245" s="3"/>
      <c r="C245" s="3"/>
      <c r="J245" s="3"/>
      <c r="K245" s="3"/>
    </row>
    <row r="246" spans="2:11" ht="12.75">
      <c r="B246" s="3"/>
      <c r="C246" s="3"/>
      <c r="J246" s="3"/>
      <c r="K246" s="3"/>
    </row>
    <row r="247" spans="2:11" ht="12.75">
      <c r="B247" s="3"/>
      <c r="C247" s="3"/>
      <c r="J247" s="3"/>
      <c r="K247" s="3"/>
    </row>
    <row r="248" spans="2:11" ht="12.75">
      <c r="B248" s="3"/>
      <c r="C248" s="3"/>
      <c r="J248" s="3"/>
      <c r="K248" s="3"/>
    </row>
    <row r="249" spans="2:11" ht="12.75">
      <c r="B249" s="3"/>
      <c r="C249" s="3"/>
      <c r="J249" s="3"/>
      <c r="K249" s="3"/>
    </row>
    <row r="250" spans="2:11" ht="12.75">
      <c r="B250" s="3"/>
      <c r="C250" s="3"/>
      <c r="J250" s="3"/>
      <c r="K250" s="3"/>
    </row>
    <row r="251" spans="2:11" ht="12.75">
      <c r="B251" s="3"/>
      <c r="C251" s="3"/>
      <c r="J251" s="3"/>
      <c r="K251" s="3"/>
    </row>
    <row r="252" spans="2:11" ht="12.75">
      <c r="B252" s="3"/>
      <c r="C252" s="3"/>
      <c r="J252" s="3"/>
      <c r="K252" s="3"/>
    </row>
    <row r="253" spans="2:11" ht="12.75">
      <c r="B253" s="3"/>
      <c r="C253" s="3"/>
      <c r="J253" s="3"/>
      <c r="K253" s="3"/>
    </row>
    <row r="254" spans="2:11" ht="12.75">
      <c r="B254" s="3"/>
      <c r="C254" s="3"/>
      <c r="J254" s="3"/>
      <c r="K254" s="3"/>
    </row>
    <row r="255" spans="2:11" ht="12.75">
      <c r="B255" s="3"/>
      <c r="C255" s="3"/>
      <c r="J255" s="3"/>
      <c r="K255" s="3"/>
    </row>
    <row r="256" spans="2:11" ht="12.75">
      <c r="B256" s="3"/>
      <c r="C256" s="3"/>
      <c r="J256" s="3"/>
      <c r="K256" s="3"/>
    </row>
    <row r="257" spans="2:11" ht="12.75">
      <c r="B257" s="3"/>
      <c r="C257" s="3"/>
      <c r="J257" s="3"/>
      <c r="K257" s="3"/>
    </row>
    <row r="258" spans="2:11" ht="12.75">
      <c r="B258" s="3"/>
      <c r="C258" s="3"/>
      <c r="J258" s="3"/>
      <c r="K258" s="3"/>
    </row>
    <row r="259" spans="2:11" ht="12.75">
      <c r="B259" s="3"/>
      <c r="C259" s="3"/>
      <c r="J259" s="3"/>
      <c r="K259" s="3"/>
    </row>
    <row r="260" spans="2:11" ht="12.75">
      <c r="B260" s="3"/>
      <c r="C260" s="3"/>
      <c r="J260" s="3"/>
      <c r="K260" s="3"/>
    </row>
    <row r="261" spans="2:11" ht="12.75">
      <c r="B261" s="3"/>
      <c r="C261" s="3"/>
      <c r="J261" s="3"/>
      <c r="K261" s="3"/>
    </row>
    <row r="262" spans="2:11" ht="12.75">
      <c r="B262" s="3"/>
      <c r="C262" s="3"/>
      <c r="J262" s="3"/>
      <c r="K262" s="3"/>
    </row>
    <row r="263" spans="2:11" ht="12.75">
      <c r="B263" s="3"/>
      <c r="C263" s="3"/>
      <c r="J263" s="3"/>
      <c r="K263" s="3"/>
    </row>
    <row r="264" spans="2:11" ht="12.75">
      <c r="B264" s="3"/>
      <c r="C264" s="3"/>
      <c r="J264" s="3"/>
      <c r="K264" s="3"/>
    </row>
    <row r="265" spans="2:11" ht="12.75">
      <c r="B265" s="3"/>
      <c r="C265" s="3"/>
      <c r="J265" s="3"/>
      <c r="K265" s="3"/>
    </row>
    <row r="266" spans="2:11" ht="12.75">
      <c r="B266" s="3"/>
      <c r="C266" s="3"/>
      <c r="J266" s="3"/>
      <c r="K266" s="3"/>
    </row>
    <row r="267" spans="2:11" ht="12.75">
      <c r="B267" s="3"/>
      <c r="C267" s="3"/>
      <c r="J267" s="3"/>
      <c r="K267" s="3"/>
    </row>
    <row r="268" spans="10:11" ht="12.75">
      <c r="J268" s="3"/>
      <c r="K268" s="3"/>
    </row>
    <row r="269" spans="10:11" ht="12.75">
      <c r="J269" s="3"/>
      <c r="K269" s="3"/>
    </row>
    <row r="270" spans="10:11" ht="12.75">
      <c r="J270" s="3"/>
      <c r="K270" s="3"/>
    </row>
    <row r="273" ht="12.75">
      <c r="D273" s="1"/>
    </row>
    <row r="274" ht="12.75">
      <c r="D274" s="1"/>
    </row>
    <row r="275" ht="12.75">
      <c r="D275" s="9"/>
    </row>
  </sheetData>
  <sheetProtection/>
  <printOptions/>
  <pageMargins left="0.1968503937007874" right="0.1968503937007874" top="0.984251968503937" bottom="0.1968503937007874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240"/>
  <sheetViews>
    <sheetView zoomScale="120" zoomScaleNormal="120" zoomScaleSheetLayoutView="100" zoomScalePageLayoutView="0" workbookViewId="0" topLeftCell="A190">
      <selection activeCell="X1" sqref="X1:Z16384"/>
    </sheetView>
  </sheetViews>
  <sheetFormatPr defaultColWidth="9.140625" defaultRowHeight="12.75"/>
  <cols>
    <col min="1" max="1" width="4.57421875" style="205" customWidth="1"/>
    <col min="2" max="2" width="32.421875" style="0" customWidth="1"/>
    <col min="3" max="3" width="21.57421875" style="0" customWidth="1"/>
    <col min="4" max="4" width="17.57421875" style="0" customWidth="1"/>
    <col min="5" max="5" width="7.00390625" style="0" bestFit="1" customWidth="1"/>
    <col min="6" max="6" width="16.7109375" style="0" bestFit="1" customWidth="1"/>
    <col min="7" max="8" width="8.28125" style="0" bestFit="1" customWidth="1"/>
    <col min="9" max="9" width="7.00390625" style="0" hidden="1" customWidth="1"/>
    <col min="10" max="10" width="9.7109375" style="0" hidden="1" customWidth="1"/>
    <col min="11" max="11" width="0.2890625" style="0" hidden="1" customWidth="1"/>
    <col min="12" max="12" width="8.421875" style="0" hidden="1" customWidth="1"/>
    <col min="13" max="13" width="12.7109375" style="0" hidden="1" customWidth="1"/>
    <col min="14" max="14" width="10.140625" style="0" hidden="1" customWidth="1"/>
    <col min="15" max="15" width="0.13671875" style="0" hidden="1" customWidth="1"/>
    <col min="16" max="18" width="9.140625" style="0" hidden="1" customWidth="1"/>
    <col min="19" max="19" width="19.421875" style="0" hidden="1" customWidth="1"/>
    <col min="20" max="20" width="9.140625" style="0" hidden="1" customWidth="1"/>
    <col min="21" max="21" width="0.13671875" style="0" hidden="1" customWidth="1"/>
    <col min="22" max="22" width="9.140625" style="0" hidden="1" customWidth="1"/>
    <col min="24" max="24" width="33.8515625" style="0" customWidth="1"/>
    <col min="25" max="25" width="44.421875" style="0" bestFit="1" customWidth="1"/>
    <col min="26" max="26" width="16.7109375" style="0" bestFit="1" customWidth="1"/>
  </cols>
  <sheetData>
    <row r="1" spans="1:23" ht="13.5">
      <c r="A1" s="34"/>
      <c r="B1" s="35" t="s">
        <v>166</v>
      </c>
      <c r="C1" s="34"/>
      <c r="D1" s="34"/>
      <c r="E1" s="34"/>
      <c r="F1" s="34" t="s">
        <v>167</v>
      </c>
      <c r="I1" s="16"/>
      <c r="J1" s="16"/>
      <c r="W1" s="50" t="s">
        <v>176</v>
      </c>
    </row>
    <row r="2" spans="1:10" ht="13.5">
      <c r="A2" s="34"/>
      <c r="B2" s="37" t="s">
        <v>33</v>
      </c>
      <c r="C2" s="34" t="s">
        <v>218</v>
      </c>
      <c r="D2" s="34"/>
      <c r="E2" s="34"/>
      <c r="F2" s="34"/>
      <c r="H2" s="50"/>
      <c r="I2" s="16"/>
      <c r="J2" s="16"/>
    </row>
    <row r="3" spans="1:10" ht="13.5">
      <c r="A3" s="162"/>
      <c r="B3" s="37" t="s">
        <v>34</v>
      </c>
      <c r="C3" s="34" t="s">
        <v>219</v>
      </c>
      <c r="D3" s="34"/>
      <c r="E3" s="34"/>
      <c r="F3" s="34"/>
      <c r="H3" s="50"/>
      <c r="I3" s="16"/>
      <c r="J3" s="77"/>
    </row>
    <row r="4" spans="1:10" ht="18">
      <c r="A4" s="34"/>
      <c r="B4" s="38" t="s">
        <v>35</v>
      </c>
      <c r="C4" s="34" t="s">
        <v>220</v>
      </c>
      <c r="D4" s="34"/>
      <c r="E4" s="34"/>
      <c r="F4" s="34"/>
      <c r="G4" s="2"/>
      <c r="H4" s="48"/>
      <c r="I4" s="16"/>
      <c r="J4" s="16"/>
    </row>
    <row r="5" spans="1:10" ht="13.5">
      <c r="A5" s="34"/>
      <c r="B5" s="34"/>
      <c r="C5" s="34" t="s">
        <v>378</v>
      </c>
      <c r="D5" s="34"/>
      <c r="E5" s="34"/>
      <c r="F5" s="34"/>
      <c r="G5" s="15"/>
      <c r="H5" s="48"/>
      <c r="I5" s="16"/>
      <c r="J5" s="16"/>
    </row>
    <row r="6" spans="1:10" ht="12.75">
      <c r="A6" s="46"/>
      <c r="B6" s="124" t="s">
        <v>80</v>
      </c>
      <c r="C6" s="45"/>
      <c r="D6" s="45"/>
      <c r="E6" s="45"/>
      <c r="F6" s="48"/>
      <c r="G6" s="48"/>
      <c r="H6" s="48"/>
      <c r="I6" s="16"/>
      <c r="J6" s="16"/>
    </row>
    <row r="7" spans="1:10" ht="12.75">
      <c r="A7" s="46"/>
      <c r="B7" s="124"/>
      <c r="C7" s="45"/>
      <c r="D7" s="45"/>
      <c r="E7" s="45"/>
      <c r="F7" s="48"/>
      <c r="G7" s="48"/>
      <c r="H7" s="48"/>
      <c r="I7" s="16"/>
      <c r="J7" s="16"/>
    </row>
    <row r="8" spans="1:10" ht="12.75">
      <c r="A8" s="46"/>
      <c r="B8" s="124"/>
      <c r="C8" s="45"/>
      <c r="D8" s="45"/>
      <c r="E8" s="45"/>
      <c r="F8" s="48"/>
      <c r="G8" s="48"/>
      <c r="H8" s="48"/>
      <c r="I8" s="16"/>
      <c r="J8" s="16"/>
    </row>
    <row r="9" spans="1:10" ht="12.75">
      <c r="A9" s="46"/>
      <c r="B9" s="124"/>
      <c r="C9" s="45"/>
      <c r="D9" s="45"/>
      <c r="E9" s="45"/>
      <c r="F9" s="48"/>
      <c r="G9" s="48"/>
      <c r="H9" s="48"/>
      <c r="I9" s="16"/>
      <c r="J9" s="16"/>
    </row>
    <row r="10" spans="2:10" ht="15">
      <c r="B10" s="79"/>
      <c r="C10" s="53" t="s">
        <v>374</v>
      </c>
      <c r="D10" s="49"/>
      <c r="E10" s="45"/>
      <c r="F10" s="48"/>
      <c r="G10" s="48"/>
      <c r="H10" s="45"/>
      <c r="I10" s="16"/>
      <c r="J10" s="16"/>
    </row>
    <row r="11" spans="1:10" ht="12.75">
      <c r="A11" s="46"/>
      <c r="B11" s="45"/>
      <c r="C11" s="45"/>
      <c r="D11" s="45"/>
      <c r="E11" s="45"/>
      <c r="F11" s="48"/>
      <c r="G11" s="48"/>
      <c r="H11" s="45"/>
      <c r="I11" s="16"/>
      <c r="J11" s="16"/>
    </row>
    <row r="12" spans="1:10" ht="15.75" thickBot="1">
      <c r="A12" s="46"/>
      <c r="C12" s="57" t="s">
        <v>387</v>
      </c>
      <c r="D12" s="58"/>
      <c r="E12" s="45"/>
      <c r="F12" s="48"/>
      <c r="G12" s="48"/>
      <c r="H12" s="45"/>
      <c r="I12" s="16"/>
      <c r="J12" s="16"/>
    </row>
    <row r="13" spans="1:10" ht="13.5" thickBot="1">
      <c r="A13" s="243">
        <v>1</v>
      </c>
      <c r="B13" s="244">
        <v>2</v>
      </c>
      <c r="C13" s="244"/>
      <c r="D13" s="244">
        <v>3</v>
      </c>
      <c r="E13" s="244">
        <v>4</v>
      </c>
      <c r="F13" s="244">
        <v>5</v>
      </c>
      <c r="G13" s="244">
        <v>6</v>
      </c>
      <c r="H13" s="245">
        <v>7</v>
      </c>
      <c r="I13" s="16"/>
      <c r="J13" s="16"/>
    </row>
    <row r="14" spans="1:10" ht="13.5">
      <c r="A14" s="249"/>
      <c r="B14" s="241"/>
      <c r="C14" s="242"/>
      <c r="D14" s="231" t="s">
        <v>364</v>
      </c>
      <c r="E14" s="374" t="s">
        <v>18</v>
      </c>
      <c r="F14" s="231" t="s">
        <v>393</v>
      </c>
      <c r="G14" s="231" t="s">
        <v>18</v>
      </c>
      <c r="H14" s="492" t="s">
        <v>85</v>
      </c>
      <c r="I14" s="16"/>
      <c r="J14" s="16"/>
    </row>
    <row r="15" spans="1:10" ht="13.5">
      <c r="A15" s="250"/>
      <c r="B15" s="100"/>
      <c r="C15" s="98"/>
      <c r="D15" s="371" t="s">
        <v>16</v>
      </c>
      <c r="E15" s="375" t="s">
        <v>15</v>
      </c>
      <c r="F15" s="232" t="s">
        <v>16</v>
      </c>
      <c r="G15" s="232" t="s">
        <v>15</v>
      </c>
      <c r="H15" s="232" t="s">
        <v>40</v>
      </c>
      <c r="I15" s="22"/>
      <c r="J15" s="22"/>
    </row>
    <row r="16" spans="1:26" ht="13.5">
      <c r="A16" s="250" t="s">
        <v>108</v>
      </c>
      <c r="B16" s="119" t="s">
        <v>107</v>
      </c>
      <c r="C16" s="98"/>
      <c r="D16" s="372"/>
      <c r="E16" s="376"/>
      <c r="F16" s="233"/>
      <c r="G16" s="233"/>
      <c r="H16" s="233"/>
      <c r="I16" s="18"/>
      <c r="J16" s="33"/>
      <c r="Y16" s="100"/>
      <c r="Z16" s="99"/>
    </row>
    <row r="17" spans="1:26" ht="13.5">
      <c r="A17" s="251" t="s">
        <v>0</v>
      </c>
      <c r="B17" s="100" t="s">
        <v>141</v>
      </c>
      <c r="C17" s="98"/>
      <c r="D17" s="196">
        <f>'PJ-čistoća-prihod-ok'!C20</f>
        <v>5120000</v>
      </c>
      <c r="E17" s="284">
        <f aca="true" t="shared" si="0" ref="E17:E27">D17/$D$32*100</f>
        <v>35.407380585497</v>
      </c>
      <c r="F17" s="116">
        <f>+'PJ-čistoća-prihod-ok'!E20</f>
        <v>5923000</v>
      </c>
      <c r="G17" s="284">
        <f>F17/$F$32*100</f>
        <v>34.03843602035456</v>
      </c>
      <c r="H17" s="474">
        <f>+F17/D17*100</f>
        <v>115.68359374999999</v>
      </c>
      <c r="I17" s="16"/>
      <c r="J17" s="16"/>
      <c r="Y17" s="100"/>
      <c r="Z17" s="99"/>
    </row>
    <row r="18" spans="1:26" ht="13.5">
      <c r="A18" s="251" t="s">
        <v>1</v>
      </c>
      <c r="B18" s="100" t="s">
        <v>162</v>
      </c>
      <c r="C18" s="98"/>
      <c r="D18" s="116">
        <f>+'PJ-čistoća-prihod-ok'!C32</f>
        <v>3230817</v>
      </c>
      <c r="E18" s="284">
        <f t="shared" si="0"/>
        <v>22.342727953338603</v>
      </c>
      <c r="F18" s="116">
        <f>+'PJ-čistoća-prihod-ok'!E32</f>
        <v>5344017</v>
      </c>
      <c r="G18" s="284">
        <f aca="true" t="shared" si="1" ref="G18:G27">F18/$F$32*100</f>
        <v>30.711122867835066</v>
      </c>
      <c r="H18" s="474">
        <f aca="true" t="shared" si="2" ref="H18:H27">+F18/D18*100</f>
        <v>165.40760433042166</v>
      </c>
      <c r="I18" s="19"/>
      <c r="J18" s="19"/>
      <c r="Y18" s="100"/>
      <c r="Z18" s="99"/>
    </row>
    <row r="19" spans="1:26" ht="13.5">
      <c r="A19" s="251" t="s">
        <v>2</v>
      </c>
      <c r="B19" s="100" t="s">
        <v>134</v>
      </c>
      <c r="C19" s="98"/>
      <c r="D19" s="116">
        <f>'PJ PARKING PRHOD'!C31</f>
        <v>1218000</v>
      </c>
      <c r="E19" s="284">
        <f t="shared" si="0"/>
        <v>8.423083897096747</v>
      </c>
      <c r="F19" s="116">
        <f>'PJ PARKING PRHOD'!E31</f>
        <v>1318000</v>
      </c>
      <c r="G19" s="284">
        <f t="shared" si="1"/>
        <v>7.574313468652255</v>
      </c>
      <c r="H19" s="474">
        <f t="shared" si="2"/>
        <v>108.21018062397371</v>
      </c>
      <c r="I19" s="19"/>
      <c r="J19" s="15"/>
      <c r="Y19" s="100"/>
      <c r="Z19" s="99"/>
    </row>
    <row r="20" spans="1:26" ht="13.5">
      <c r="A20" s="251" t="s">
        <v>3</v>
      </c>
      <c r="B20" s="100" t="s">
        <v>139</v>
      </c>
      <c r="C20" s="98"/>
      <c r="D20" s="116">
        <f>+'PJ-PiJP-prihod-ok'!C21+'PJ-PiJP-prihod-ok'!C23</f>
        <v>1916800</v>
      </c>
      <c r="E20" s="284">
        <f t="shared" si="0"/>
        <v>13.25563810669544</v>
      </c>
      <c r="F20" s="116">
        <f>+'PJ-PiJP-prihod-ok'!E21+'PJ-PiJP-prihod-ok'!E23</f>
        <v>1784000</v>
      </c>
      <c r="G20" s="284">
        <f t="shared" si="1"/>
        <v>10.252333253471642</v>
      </c>
      <c r="H20" s="474">
        <f t="shared" si="2"/>
        <v>93.07178631051754</v>
      </c>
      <c r="I20" s="19"/>
      <c r="J20" s="19"/>
      <c r="Y20" s="100"/>
      <c r="Z20" s="99"/>
    </row>
    <row r="21" spans="1:26" ht="13.5">
      <c r="A21" s="251" t="s">
        <v>4</v>
      </c>
      <c r="B21" s="100" t="s">
        <v>198</v>
      </c>
      <c r="C21" s="98"/>
      <c r="D21" s="116">
        <f>'PJ-PiJP-prihod-ok'!C29+'PJ-PiJP-prihod-ok'!C31+'PJ-PiJP-prihod-ok'!C34+'PJ-PiJP-prihod-ok'!C35</f>
        <v>280000</v>
      </c>
      <c r="E21" s="284">
        <f t="shared" si="0"/>
        <v>1.9363411257693672</v>
      </c>
      <c r="F21" s="116">
        <f>'PJ-PiJP-prihod-ok'!E29+'PJ-PiJP-prihod-ok'!E31+'PJ-PiJP-prihod-ok'!E34+'PJ-PiJP-prihod-ok'!E35</f>
        <v>384000</v>
      </c>
      <c r="G21" s="284">
        <f t="shared" si="1"/>
        <v>2.2067802518683353</v>
      </c>
      <c r="H21" s="474">
        <f t="shared" si="2"/>
        <v>137.14285714285714</v>
      </c>
      <c r="I21" s="19"/>
      <c r="J21" s="19"/>
      <c r="Y21" s="100"/>
      <c r="Z21" s="99"/>
    </row>
    <row r="22" spans="1:26" ht="13.5">
      <c r="A22" s="251" t="s">
        <v>5</v>
      </c>
      <c r="B22" s="100" t="s">
        <v>196</v>
      </c>
      <c r="C22" s="98"/>
      <c r="D22" s="196">
        <f>'PJ-GiPU-prihod-ok'!C22+'PJ-GiPU-prihod-ok'!C23+'PJ-GiPU-prihod-ok'!C26+'PJ-GiPU-prihod-ok'!C28</f>
        <v>1278945</v>
      </c>
      <c r="E22" s="284">
        <f t="shared" si="0"/>
        <v>8.84454928963251</v>
      </c>
      <c r="F22" s="196">
        <f>'PJ-GiPU-prihod-ok'!E22+'PJ-GiPU-prihod-ok'!E23+'PJ-GiPU-prihod-ok'!E26+'PJ-GiPU-prihod-ok'!E28</f>
        <v>1275000</v>
      </c>
      <c r="G22" s="284">
        <f t="shared" si="1"/>
        <v>7.327200055031582</v>
      </c>
      <c r="H22" s="474">
        <f t="shared" si="2"/>
        <v>99.6915426386592</v>
      </c>
      <c r="I22" s="19"/>
      <c r="J22" s="19"/>
      <c r="Y22" s="100"/>
      <c r="Z22" s="99"/>
    </row>
    <row r="23" spans="1:26" ht="13.5">
      <c r="A23" s="251" t="s">
        <v>6</v>
      </c>
      <c r="B23" s="100" t="s">
        <v>164</v>
      </c>
      <c r="C23" s="98"/>
      <c r="D23" s="116">
        <f>'PJ-ZS-rashod-ok'!C179</f>
        <v>40000</v>
      </c>
      <c r="E23" s="284">
        <f t="shared" si="0"/>
        <v>0.2766201608241953</v>
      </c>
      <c r="F23" s="116">
        <f>'PJ-ZS-rashod-ok'!E179</f>
        <v>0</v>
      </c>
      <c r="G23" s="284">
        <f t="shared" si="1"/>
        <v>0</v>
      </c>
      <c r="H23" s="474">
        <f t="shared" si="2"/>
        <v>0</v>
      </c>
      <c r="I23" s="19"/>
      <c r="J23" s="15"/>
      <c r="Y23" s="100"/>
      <c r="Z23" s="99"/>
    </row>
    <row r="24" spans="1:26" ht="13.5">
      <c r="A24" s="251" t="s">
        <v>8</v>
      </c>
      <c r="B24" s="100" t="s">
        <v>163</v>
      </c>
      <c r="C24" s="98"/>
      <c r="D24" s="116">
        <f>+'PJ-čistoća-prihod-ok'!C39+'PJ-GiPU-prihod-ok'!C27</f>
        <v>377800</v>
      </c>
      <c r="E24" s="284">
        <f t="shared" si="0"/>
        <v>2.6126774189845245</v>
      </c>
      <c r="F24" s="116">
        <f>+'PJ-čistoća-prihod-ok'!E39+'PJ-GiPU-prihod-ok'!E27</f>
        <v>375000</v>
      </c>
      <c r="G24" s="284">
        <f t="shared" si="1"/>
        <v>2.1550588397151715</v>
      </c>
      <c r="H24" s="474">
        <f t="shared" si="2"/>
        <v>99.25886712546321</v>
      </c>
      <c r="I24" s="19"/>
      <c r="J24" s="19"/>
      <c r="Y24" s="100"/>
      <c r="Z24" s="99"/>
    </row>
    <row r="25" spans="1:26" ht="13.5">
      <c r="A25" s="251" t="s">
        <v>10</v>
      </c>
      <c r="B25" s="100" t="s">
        <v>113</v>
      </c>
      <c r="C25" s="98"/>
      <c r="D25" s="116">
        <f>+'PJ PARKING PRHOD'!C30</f>
        <v>0</v>
      </c>
      <c r="E25" s="284">
        <f t="shared" si="0"/>
        <v>0</v>
      </c>
      <c r="F25" s="116">
        <f>+'PJ PARKING PRHOD'!E30</f>
        <v>0</v>
      </c>
      <c r="G25" s="284">
        <f t="shared" si="1"/>
        <v>0</v>
      </c>
      <c r="H25" s="474"/>
      <c r="I25" s="19"/>
      <c r="J25" s="19"/>
      <c r="X25" s="1"/>
      <c r="Y25" s="277"/>
      <c r="Z25" s="99"/>
    </row>
    <row r="26" spans="1:26" s="205" customFormat="1" ht="13.5">
      <c r="A26" s="252" t="s">
        <v>335</v>
      </c>
      <c r="B26" s="241" t="s">
        <v>112</v>
      </c>
      <c r="C26" s="242"/>
      <c r="D26" s="234">
        <f>+SUM(D17:D25)</f>
        <v>13462362</v>
      </c>
      <c r="E26" s="284">
        <f t="shared" si="0"/>
        <v>93.09901853783839</v>
      </c>
      <c r="F26" s="234">
        <f>+SUM(F17:F25)</f>
        <v>16403017</v>
      </c>
      <c r="G26" s="284">
        <f t="shared" si="1"/>
        <v>94.26524475692861</v>
      </c>
      <c r="H26" s="474">
        <f t="shared" si="2"/>
        <v>121.84352938956775</v>
      </c>
      <c r="I26" s="19"/>
      <c r="J26" s="19"/>
      <c r="X26" s="93"/>
      <c r="Y26"/>
      <c r="Z26"/>
    </row>
    <row r="27" spans="1:10" ht="13.5">
      <c r="A27" s="252" t="s">
        <v>93</v>
      </c>
      <c r="B27" s="241" t="s">
        <v>106</v>
      </c>
      <c r="C27" s="242"/>
      <c r="D27" s="234">
        <f>+'PJ-čistoća-prihod-ok'!C43+'PJ-PiJP-prihod-ok'!C25+'PJ-PiJP-prihod-ok'!C27+'PJ-GiPU-prihod-ok'!C29</f>
        <v>867900</v>
      </c>
      <c r="E27" s="284">
        <f t="shared" si="0"/>
        <v>6.001965939482978</v>
      </c>
      <c r="F27" s="234">
        <f>+'PJ-čistoća-prihod-ok'!E43+'PJ-PiJP-prihod-ok'!E25+'PJ-PiJP-prihod-ok'!E27+'PJ-GiPU-prihod-ok'!E29</f>
        <v>867900</v>
      </c>
      <c r="G27" s="284">
        <f t="shared" si="1"/>
        <v>4.987668178636793</v>
      </c>
      <c r="H27" s="474">
        <f t="shared" si="2"/>
        <v>100</v>
      </c>
      <c r="I27" s="19"/>
      <c r="J27" s="19"/>
    </row>
    <row r="28" spans="1:10" ht="13.5">
      <c r="A28" s="253"/>
      <c r="B28" s="119" t="s">
        <v>111</v>
      </c>
      <c r="C28" s="98"/>
      <c r="D28" s="196"/>
      <c r="E28" s="284"/>
      <c r="F28" s="116"/>
      <c r="G28" s="116"/>
      <c r="H28" s="474"/>
      <c r="I28" s="19"/>
      <c r="J28" s="19"/>
    </row>
    <row r="29" spans="1:10" ht="13.5">
      <c r="A29" s="251" t="s">
        <v>109</v>
      </c>
      <c r="B29" s="100" t="s">
        <v>110</v>
      </c>
      <c r="C29" s="98"/>
      <c r="D29" s="237"/>
      <c r="E29" s="284"/>
      <c r="F29" s="115"/>
      <c r="G29" s="116"/>
      <c r="H29" s="475"/>
      <c r="I29" s="19"/>
      <c r="J29" s="19"/>
    </row>
    <row r="30" spans="1:10" ht="13.5">
      <c r="A30" s="254" t="s">
        <v>0</v>
      </c>
      <c r="B30" s="277" t="s">
        <v>96</v>
      </c>
      <c r="C30" s="111"/>
      <c r="D30" s="115">
        <f>+'PJ-čistoća-prihod-ok'!C41+'PJ-GiPU-prihod-ok'!C30</f>
        <v>130000</v>
      </c>
      <c r="E30" s="284">
        <f>D30/$D$32*100</f>
        <v>0.8990155226786348</v>
      </c>
      <c r="F30" s="115">
        <f>+'PJ-čistoća-prihod-ok'!E41+'PJ-GiPU-prihod-ok'!E30</f>
        <v>130000</v>
      </c>
      <c r="G30" s="284">
        <f>F30/$F$32*100</f>
        <v>0.7470870644345927</v>
      </c>
      <c r="H30" s="474">
        <f>+F30/D30*100</f>
        <v>100</v>
      </c>
      <c r="I30" s="19"/>
      <c r="J30" s="19"/>
    </row>
    <row r="31" spans="1:10" ht="14.25" thickBot="1">
      <c r="A31" s="251"/>
      <c r="B31" s="100"/>
      <c r="C31" s="98"/>
      <c r="D31" s="373"/>
      <c r="E31" s="377"/>
      <c r="F31" s="235"/>
      <c r="G31" s="116"/>
      <c r="H31" s="493"/>
      <c r="I31" s="19"/>
      <c r="J31" s="19"/>
    </row>
    <row r="32" spans="1:10" ht="14.25" thickBot="1">
      <c r="A32" s="227"/>
      <c r="B32" s="228" t="s">
        <v>11</v>
      </c>
      <c r="C32" s="229"/>
      <c r="D32" s="230">
        <f>+SUM(D26:D30)</f>
        <v>14460262</v>
      </c>
      <c r="E32" s="300">
        <f>+D32*100/$D$32</f>
        <v>100</v>
      </c>
      <c r="F32" s="236">
        <f>SUM(F26:F30)</f>
        <v>17400917</v>
      </c>
      <c r="G32" s="299">
        <f>+F32*100/$F$32</f>
        <v>100</v>
      </c>
      <c r="H32" s="477">
        <f>+F32/D32*100</f>
        <v>120.33611147571186</v>
      </c>
      <c r="I32" s="19"/>
      <c r="J32" s="19"/>
    </row>
    <row r="33" spans="1:10" ht="13.5">
      <c r="A33" s="241"/>
      <c r="B33" s="241"/>
      <c r="C33" s="242"/>
      <c r="D33" s="225"/>
      <c r="E33" s="172"/>
      <c r="F33" s="225"/>
      <c r="G33" s="99"/>
      <c r="H33" s="226"/>
      <c r="I33" s="19"/>
      <c r="J33" s="19"/>
    </row>
    <row r="34" spans="1:10" ht="13.5">
      <c r="A34" s="241"/>
      <c r="B34" s="241"/>
      <c r="C34" s="242"/>
      <c r="D34" s="225"/>
      <c r="E34" s="172"/>
      <c r="F34" s="225"/>
      <c r="G34" s="99"/>
      <c r="H34" s="226"/>
      <c r="I34" s="19"/>
      <c r="J34" s="19"/>
    </row>
    <row r="35" spans="1:10" ht="13.5">
      <c r="A35" s="241"/>
      <c r="B35" s="241"/>
      <c r="C35" s="242"/>
      <c r="D35" s="225"/>
      <c r="E35" s="225"/>
      <c r="F35" s="225"/>
      <c r="G35" s="226"/>
      <c r="H35" s="226"/>
      <c r="I35" s="19"/>
      <c r="J35" s="19"/>
    </row>
    <row r="36" spans="1:10" s="607" customFormat="1" ht="13.5">
      <c r="A36" s="600"/>
      <c r="B36" s="601" t="s">
        <v>107</v>
      </c>
      <c r="C36" s="602"/>
      <c r="D36" s="602"/>
      <c r="E36" s="603"/>
      <c r="F36" s="603"/>
      <c r="G36" s="604"/>
      <c r="H36" s="605"/>
      <c r="I36" s="606"/>
      <c r="J36" s="606"/>
    </row>
    <row r="37" spans="1:10" s="607" customFormat="1" ht="13.5">
      <c r="A37" s="608" t="s">
        <v>0</v>
      </c>
      <c r="B37" s="609" t="s">
        <v>140</v>
      </c>
      <c r="C37" s="610"/>
      <c r="D37" s="610"/>
      <c r="E37" s="610"/>
      <c r="F37" s="610"/>
      <c r="G37" s="604"/>
      <c r="H37" s="605"/>
      <c r="I37" s="606"/>
      <c r="J37" s="606"/>
    </row>
    <row r="38" spans="1:10" s="607" customFormat="1" ht="13.5">
      <c r="A38" s="600"/>
      <c r="B38" s="610" t="s">
        <v>215</v>
      </c>
      <c r="C38" s="610"/>
      <c r="D38" s="610"/>
      <c r="E38" s="610"/>
      <c r="F38" s="610"/>
      <c r="G38" s="604"/>
      <c r="H38" s="605"/>
      <c r="I38" s="606"/>
      <c r="J38" s="606"/>
    </row>
    <row r="39" spans="1:10" s="607" customFormat="1" ht="13.5">
      <c r="A39" s="600"/>
      <c r="B39" s="610" t="s">
        <v>418</v>
      </c>
      <c r="C39" s="610"/>
      <c r="D39" s="610"/>
      <c r="E39" s="610"/>
      <c r="F39" s="610"/>
      <c r="G39" s="604"/>
      <c r="H39" s="605"/>
      <c r="I39" s="606"/>
      <c r="J39" s="606"/>
    </row>
    <row r="40" spans="1:10" s="607" customFormat="1" ht="13.5">
      <c r="A40" s="600"/>
      <c r="B40" s="610" t="s">
        <v>336</v>
      </c>
      <c r="C40" s="610"/>
      <c r="D40" s="610"/>
      <c r="E40" s="610"/>
      <c r="F40" s="610"/>
      <c r="G40" s="604"/>
      <c r="H40" s="605"/>
      <c r="I40" s="606"/>
      <c r="J40" s="606"/>
    </row>
    <row r="41" spans="1:10" s="607" customFormat="1" ht="13.5">
      <c r="A41" s="600"/>
      <c r="B41" s="610" t="s">
        <v>394</v>
      </c>
      <c r="C41" s="610"/>
      <c r="D41" s="610"/>
      <c r="E41" s="610"/>
      <c r="F41" s="610"/>
      <c r="G41" s="604"/>
      <c r="H41" s="605"/>
      <c r="I41" s="606"/>
      <c r="J41" s="606"/>
    </row>
    <row r="42" spans="1:10" s="607" customFormat="1" ht="13.5">
      <c r="A42" s="600"/>
      <c r="B42" s="610" t="s">
        <v>366</v>
      </c>
      <c r="C42" s="610"/>
      <c r="D42" s="610"/>
      <c r="E42" s="610"/>
      <c r="F42" s="610"/>
      <c r="G42" s="604"/>
      <c r="H42" s="605"/>
      <c r="I42" s="606"/>
      <c r="J42" s="606"/>
    </row>
    <row r="43" spans="1:10" s="607" customFormat="1" ht="13.5">
      <c r="A43" s="600"/>
      <c r="B43" s="610" t="s">
        <v>208</v>
      </c>
      <c r="C43" s="610"/>
      <c r="D43" s="610"/>
      <c r="E43" s="610"/>
      <c r="F43" s="610"/>
      <c r="G43" s="604"/>
      <c r="H43" s="605"/>
      <c r="I43" s="606"/>
      <c r="J43" s="606"/>
    </row>
    <row r="44" spans="1:10" s="607" customFormat="1" ht="13.5">
      <c r="A44" s="600"/>
      <c r="B44" s="610" t="s">
        <v>187</v>
      </c>
      <c r="C44" s="610"/>
      <c r="D44" s="610"/>
      <c r="E44" s="610"/>
      <c r="F44" s="610"/>
      <c r="G44" s="604"/>
      <c r="H44" s="605"/>
      <c r="I44" s="606"/>
      <c r="J44" s="606"/>
    </row>
    <row r="45" spans="1:10" s="607" customFormat="1" ht="13.5">
      <c r="A45" s="611"/>
      <c r="B45" s="610" t="s">
        <v>200</v>
      </c>
      <c r="C45" s="610"/>
      <c r="D45" s="610"/>
      <c r="E45" s="610"/>
      <c r="F45" s="610"/>
      <c r="G45" s="604"/>
      <c r="H45" s="605"/>
      <c r="I45" s="606"/>
      <c r="J45" s="606"/>
    </row>
    <row r="46" spans="1:10" s="607" customFormat="1" ht="13.5">
      <c r="A46" s="611"/>
      <c r="B46" s="610" t="s">
        <v>213</v>
      </c>
      <c r="C46" s="610"/>
      <c r="D46" s="610"/>
      <c r="E46" s="610"/>
      <c r="F46" s="610"/>
      <c r="G46" s="604"/>
      <c r="H46" s="605"/>
      <c r="I46" s="606"/>
      <c r="J46" s="606"/>
    </row>
    <row r="47" spans="1:10" s="607" customFormat="1" ht="13.5">
      <c r="A47" s="611"/>
      <c r="B47" s="610" t="s">
        <v>337</v>
      </c>
      <c r="C47" s="610"/>
      <c r="D47" s="610"/>
      <c r="E47" s="610"/>
      <c r="F47" s="610"/>
      <c r="G47" s="604"/>
      <c r="H47" s="605"/>
      <c r="I47" s="606"/>
      <c r="J47" s="606"/>
    </row>
    <row r="48" spans="1:10" s="607" customFormat="1" ht="13.5">
      <c r="A48" s="611"/>
      <c r="B48" s="610" t="s">
        <v>401</v>
      </c>
      <c r="C48" s="610"/>
      <c r="D48" s="610"/>
      <c r="E48" s="610"/>
      <c r="F48" s="610"/>
      <c r="G48" s="604"/>
      <c r="H48" s="605"/>
      <c r="I48" s="606"/>
      <c r="J48" s="606"/>
    </row>
    <row r="49" spans="1:10" s="607" customFormat="1" ht="13.5">
      <c r="A49" s="611"/>
      <c r="B49" s="610" t="s">
        <v>367</v>
      </c>
      <c r="C49" s="610"/>
      <c r="D49" s="610"/>
      <c r="E49" s="610"/>
      <c r="F49" s="610"/>
      <c r="G49" s="604"/>
      <c r="H49" s="605"/>
      <c r="I49" s="606"/>
      <c r="J49" s="606"/>
    </row>
    <row r="50" spans="1:10" s="607" customFormat="1" ht="13.5">
      <c r="A50" s="611"/>
      <c r="B50" s="610" t="s">
        <v>368</v>
      </c>
      <c r="C50" s="610"/>
      <c r="D50" s="610"/>
      <c r="E50" s="610"/>
      <c r="F50" s="610"/>
      <c r="G50" s="604"/>
      <c r="H50" s="605"/>
      <c r="I50" s="606"/>
      <c r="J50" s="606"/>
    </row>
    <row r="51" spans="1:14" s="607" customFormat="1" ht="13.5">
      <c r="A51" s="611"/>
      <c r="B51" s="610"/>
      <c r="C51" s="610"/>
      <c r="D51" s="610"/>
      <c r="E51" s="610"/>
      <c r="F51" s="610"/>
      <c r="G51" s="610"/>
      <c r="I51" s="612"/>
      <c r="J51" s="612"/>
      <c r="K51" s="613"/>
      <c r="L51" s="612"/>
      <c r="M51" s="612"/>
      <c r="N51" s="612"/>
    </row>
    <row r="52" spans="1:14" s="607" customFormat="1" ht="13.5">
      <c r="A52" s="611"/>
      <c r="B52" s="610"/>
      <c r="C52" s="610"/>
      <c r="D52" s="610"/>
      <c r="E52" s="610"/>
      <c r="F52" s="610"/>
      <c r="G52" s="610"/>
      <c r="I52" s="612"/>
      <c r="J52" s="612"/>
      <c r="K52" s="613"/>
      <c r="L52" s="612"/>
      <c r="M52" s="612"/>
      <c r="N52" s="612"/>
    </row>
    <row r="53" spans="1:14" s="607" customFormat="1" ht="13.5">
      <c r="A53" s="600"/>
      <c r="B53" s="610"/>
      <c r="C53" s="610"/>
      <c r="D53" s="610"/>
      <c r="E53" s="610"/>
      <c r="F53" s="610"/>
      <c r="G53" s="610"/>
      <c r="I53" s="612"/>
      <c r="J53" s="612"/>
      <c r="K53" s="613"/>
      <c r="L53" s="612"/>
      <c r="M53" s="612"/>
      <c r="N53" s="612"/>
    </row>
    <row r="54" spans="1:14" s="607" customFormat="1" ht="13.5">
      <c r="A54" s="600"/>
      <c r="B54" s="610"/>
      <c r="C54" s="610"/>
      <c r="D54" s="610"/>
      <c r="E54" s="610"/>
      <c r="F54" s="610"/>
      <c r="G54" s="610"/>
      <c r="I54" s="612"/>
      <c r="J54" s="612"/>
      <c r="K54" s="613"/>
      <c r="L54" s="612"/>
      <c r="M54" s="612"/>
      <c r="N54" s="612"/>
    </row>
    <row r="55" spans="1:14" s="607" customFormat="1" ht="13.5">
      <c r="A55" s="600"/>
      <c r="B55" s="610"/>
      <c r="C55" s="610"/>
      <c r="D55" s="610"/>
      <c r="E55" s="610"/>
      <c r="F55" s="610"/>
      <c r="G55" s="610"/>
      <c r="I55" s="612"/>
      <c r="J55" s="612"/>
      <c r="K55" s="613"/>
      <c r="L55" s="612"/>
      <c r="M55" s="612"/>
      <c r="N55" s="612"/>
    </row>
    <row r="56" spans="1:10" s="607" customFormat="1" ht="13.5">
      <c r="A56" s="614"/>
      <c r="B56" s="610"/>
      <c r="C56" s="614"/>
      <c r="D56" s="615"/>
      <c r="E56" s="615"/>
      <c r="F56" s="604"/>
      <c r="G56" s="604"/>
      <c r="H56" s="605"/>
      <c r="I56" s="606"/>
      <c r="J56" s="606"/>
    </row>
    <row r="57" spans="1:10" s="607" customFormat="1" ht="13.5">
      <c r="A57" s="614"/>
      <c r="B57" s="610"/>
      <c r="C57" s="614"/>
      <c r="D57" s="615"/>
      <c r="E57" s="615"/>
      <c r="F57" s="604"/>
      <c r="G57" s="604"/>
      <c r="H57" s="605"/>
      <c r="I57" s="606"/>
      <c r="J57" s="606"/>
    </row>
    <row r="58" spans="1:10" s="607" customFormat="1" ht="13.5">
      <c r="A58" s="614"/>
      <c r="B58" s="610"/>
      <c r="C58" s="614"/>
      <c r="D58" s="615"/>
      <c r="E58" s="615"/>
      <c r="F58" s="604"/>
      <c r="G58" s="604"/>
      <c r="H58" s="605"/>
      <c r="I58" s="606"/>
      <c r="J58" s="606"/>
    </row>
    <row r="59" spans="1:10" s="607" customFormat="1" ht="13.5">
      <c r="A59" s="614"/>
      <c r="B59" s="610"/>
      <c r="C59" s="614"/>
      <c r="D59" s="615"/>
      <c r="E59" s="615"/>
      <c r="F59" s="604"/>
      <c r="G59" s="604"/>
      <c r="H59" s="605"/>
      <c r="I59" s="606"/>
      <c r="J59" s="606"/>
    </row>
    <row r="60" spans="1:10" s="607" customFormat="1" ht="13.5">
      <c r="A60" s="614"/>
      <c r="B60" s="610"/>
      <c r="C60" s="614"/>
      <c r="D60" s="615"/>
      <c r="E60" s="615"/>
      <c r="F60" s="604"/>
      <c r="G60" s="604"/>
      <c r="H60" s="605"/>
      <c r="I60" s="606"/>
      <c r="J60" s="606"/>
    </row>
    <row r="61" spans="1:10" s="607" customFormat="1" ht="12.75">
      <c r="A61" s="616"/>
      <c r="G61" s="603"/>
      <c r="H61" s="603"/>
      <c r="I61" s="606"/>
      <c r="J61" s="606"/>
    </row>
    <row r="62" spans="1:10" s="607" customFormat="1" ht="13.5">
      <c r="A62" s="616"/>
      <c r="G62" s="610"/>
      <c r="H62" s="610"/>
      <c r="I62" s="606"/>
      <c r="J62" s="606"/>
    </row>
    <row r="63" spans="1:10" s="607" customFormat="1" ht="13.5">
      <c r="A63" s="616"/>
      <c r="G63" s="610"/>
      <c r="H63" s="610"/>
      <c r="I63" s="606"/>
      <c r="J63" s="606"/>
    </row>
    <row r="64" spans="1:10" s="607" customFormat="1" ht="13.5">
      <c r="A64" s="616"/>
      <c r="G64" s="610"/>
      <c r="H64" s="610"/>
      <c r="J64" s="606"/>
    </row>
    <row r="65" spans="1:10" s="607" customFormat="1" ht="13.5">
      <c r="A65" s="616"/>
      <c r="G65" s="610"/>
      <c r="H65" s="610"/>
      <c r="J65" s="606"/>
    </row>
    <row r="66" spans="1:10" s="607" customFormat="1" ht="13.5">
      <c r="A66" s="616"/>
      <c r="G66" s="610"/>
      <c r="H66" s="610"/>
      <c r="J66" s="606"/>
    </row>
    <row r="67" spans="1:10" s="607" customFormat="1" ht="13.5">
      <c r="A67" s="616"/>
      <c r="G67" s="610"/>
      <c r="H67" s="610"/>
      <c r="J67" s="606"/>
    </row>
    <row r="68" spans="1:10" s="607" customFormat="1" ht="13.5">
      <c r="A68" s="616"/>
      <c r="G68" s="610"/>
      <c r="H68" s="610"/>
      <c r="J68" s="606"/>
    </row>
    <row r="69" spans="1:10" s="607" customFormat="1" ht="13.5">
      <c r="A69" s="616"/>
      <c r="G69" s="610"/>
      <c r="H69" s="610"/>
      <c r="J69" s="606"/>
    </row>
    <row r="70" spans="1:10" s="607" customFormat="1" ht="13.5">
      <c r="A70" s="616"/>
      <c r="G70" s="610"/>
      <c r="H70" s="610"/>
      <c r="J70" s="606"/>
    </row>
    <row r="71" spans="1:10" s="607" customFormat="1" ht="13.5">
      <c r="A71" s="616"/>
      <c r="G71" s="610"/>
      <c r="H71" s="610"/>
      <c r="J71" s="606"/>
    </row>
    <row r="72" spans="1:10" s="607" customFormat="1" ht="13.5">
      <c r="A72" s="616"/>
      <c r="G72" s="610"/>
      <c r="H72" s="610"/>
      <c r="J72" s="606"/>
    </row>
    <row r="73" spans="1:10" s="607" customFormat="1" ht="13.5">
      <c r="A73" s="616"/>
      <c r="G73" s="610"/>
      <c r="H73" s="610"/>
      <c r="J73" s="606"/>
    </row>
    <row r="74" spans="1:10" s="607" customFormat="1" ht="13.5">
      <c r="A74" s="616"/>
      <c r="G74" s="610"/>
      <c r="H74" s="610"/>
      <c r="J74" s="606"/>
    </row>
    <row r="75" spans="1:10" s="607" customFormat="1" ht="13.5">
      <c r="A75" s="616"/>
      <c r="G75" s="610"/>
      <c r="H75" s="610"/>
      <c r="J75" s="606"/>
    </row>
    <row r="76" spans="1:10" s="607" customFormat="1" ht="13.5">
      <c r="A76" s="616"/>
      <c r="G76" s="610"/>
      <c r="H76" s="610"/>
      <c r="J76" s="606"/>
    </row>
    <row r="77" spans="1:23" s="607" customFormat="1" ht="13.5">
      <c r="A77" s="611"/>
      <c r="B77" s="614" t="s">
        <v>166</v>
      </c>
      <c r="D77" s="610" t="s">
        <v>167</v>
      </c>
      <c r="E77" s="618"/>
      <c r="I77" s="617"/>
      <c r="J77" s="606"/>
      <c r="W77" s="619" t="s">
        <v>199</v>
      </c>
    </row>
    <row r="78" spans="1:10" s="607" customFormat="1" ht="13.5">
      <c r="A78" s="611"/>
      <c r="B78" s="620" t="s">
        <v>33</v>
      </c>
      <c r="C78" s="610" t="s">
        <v>218</v>
      </c>
      <c r="D78" s="610"/>
      <c r="E78" s="610"/>
      <c r="I78" s="617"/>
      <c r="J78" s="606"/>
    </row>
    <row r="79" spans="1:10" s="607" customFormat="1" ht="13.5">
      <c r="A79" s="611"/>
      <c r="B79" s="620" t="s">
        <v>34</v>
      </c>
      <c r="C79" s="610" t="s">
        <v>219</v>
      </c>
      <c r="D79" s="610"/>
      <c r="E79" s="610"/>
      <c r="I79" s="617"/>
      <c r="J79" s="606"/>
    </row>
    <row r="80" spans="1:10" s="607" customFormat="1" ht="18">
      <c r="A80" s="611"/>
      <c r="B80" s="621" t="s">
        <v>35</v>
      </c>
      <c r="C80" s="610" t="s">
        <v>220</v>
      </c>
      <c r="D80" s="610"/>
      <c r="E80" s="610"/>
      <c r="I80" s="617"/>
      <c r="J80" s="606"/>
    </row>
    <row r="81" spans="1:10" s="607" customFormat="1" ht="13.5">
      <c r="A81" s="611"/>
      <c r="B81" s="610"/>
      <c r="C81" s="34" t="s">
        <v>378</v>
      </c>
      <c r="D81" s="610"/>
      <c r="E81" s="610"/>
      <c r="I81" s="617"/>
      <c r="J81" s="606"/>
    </row>
    <row r="82" spans="1:10" s="607" customFormat="1" ht="12.75">
      <c r="A82" s="611"/>
      <c r="B82" s="622" t="s">
        <v>80</v>
      </c>
      <c r="C82" s="603"/>
      <c r="D82" s="603"/>
      <c r="E82" s="603"/>
      <c r="I82" s="617"/>
      <c r="J82" s="606"/>
    </row>
    <row r="83" spans="1:10" s="607" customFormat="1" ht="12.75">
      <c r="A83" s="611"/>
      <c r="B83" s="622"/>
      <c r="C83" s="603"/>
      <c r="D83" s="603"/>
      <c r="E83" s="603"/>
      <c r="I83" s="617"/>
      <c r="J83" s="606"/>
    </row>
    <row r="84" spans="1:10" s="607" customFormat="1" ht="12.75">
      <c r="A84" s="611"/>
      <c r="B84" s="622"/>
      <c r="C84" s="603"/>
      <c r="D84" s="603"/>
      <c r="E84" s="603"/>
      <c r="I84" s="617"/>
      <c r="J84" s="606"/>
    </row>
    <row r="85" spans="1:10" s="607" customFormat="1" ht="12.75">
      <c r="A85" s="611"/>
      <c r="B85" s="622"/>
      <c r="C85" s="603"/>
      <c r="D85" s="603"/>
      <c r="E85" s="603"/>
      <c r="I85" s="617"/>
      <c r="J85" s="606"/>
    </row>
    <row r="86" spans="1:10" s="607" customFormat="1" ht="12.75">
      <c r="A86" s="611"/>
      <c r="B86" s="622"/>
      <c r="C86" s="603"/>
      <c r="D86" s="603"/>
      <c r="E86" s="603"/>
      <c r="I86" s="617"/>
      <c r="J86" s="606"/>
    </row>
    <row r="87" spans="1:10" s="607" customFormat="1" ht="12.75">
      <c r="A87" s="611"/>
      <c r="C87" s="611" t="s">
        <v>147</v>
      </c>
      <c r="D87" s="603"/>
      <c r="E87" s="603"/>
      <c r="F87" s="623"/>
      <c r="G87" s="623"/>
      <c r="J87" s="612"/>
    </row>
    <row r="88" spans="1:10" s="607" customFormat="1" ht="12.75">
      <c r="A88" s="611"/>
      <c r="J88" s="612"/>
    </row>
    <row r="89" spans="1:10" s="607" customFormat="1" ht="12.75">
      <c r="A89" s="611"/>
      <c r="B89" s="624"/>
      <c r="C89" s="625"/>
      <c r="D89" s="625"/>
      <c r="F89" s="625"/>
      <c r="G89" s="625"/>
      <c r="H89" s="625"/>
      <c r="J89" s="612"/>
    </row>
    <row r="90" spans="1:8" s="607" customFormat="1" ht="13.5">
      <c r="A90" s="611"/>
      <c r="B90" s="618"/>
      <c r="C90" s="626"/>
      <c r="D90" s="626"/>
      <c r="E90" s="626"/>
      <c r="F90" s="626"/>
      <c r="G90" s="626"/>
      <c r="H90" s="625"/>
    </row>
    <row r="91" spans="1:8" s="607" customFormat="1" ht="12.75">
      <c r="A91" s="611"/>
      <c r="C91" s="625"/>
      <c r="D91" s="625"/>
      <c r="E91" s="625"/>
      <c r="F91" s="625"/>
      <c r="G91" s="625"/>
      <c r="H91" s="627"/>
    </row>
    <row r="92" spans="1:8" s="607" customFormat="1" ht="13.5">
      <c r="A92" s="611"/>
      <c r="C92" s="628"/>
      <c r="D92" s="628"/>
      <c r="E92" s="628"/>
      <c r="F92" s="628"/>
      <c r="G92" s="628"/>
      <c r="H92" s="627"/>
    </row>
    <row r="93" spans="1:8" s="607" customFormat="1" ht="13.5">
      <c r="A93" s="611"/>
      <c r="C93" s="629"/>
      <c r="D93" s="628"/>
      <c r="E93" s="628"/>
      <c r="F93" s="628"/>
      <c r="G93" s="628"/>
      <c r="H93" s="627"/>
    </row>
    <row r="94" spans="1:8" s="607" customFormat="1" ht="13.5">
      <c r="A94" s="611"/>
      <c r="C94" s="630"/>
      <c r="D94" s="631"/>
      <c r="E94" s="632"/>
      <c r="F94" s="631"/>
      <c r="G94" s="632"/>
      <c r="H94" s="627"/>
    </row>
    <row r="95" spans="1:8" s="607" customFormat="1" ht="13.5">
      <c r="A95" s="611"/>
      <c r="C95" s="630"/>
      <c r="D95" s="631"/>
      <c r="E95" s="632"/>
      <c r="F95" s="631"/>
      <c r="G95" s="632"/>
      <c r="H95" s="633"/>
    </row>
    <row r="96" spans="1:8" s="607" customFormat="1" ht="13.5">
      <c r="A96" s="611"/>
      <c r="C96" s="630"/>
      <c r="D96" s="631"/>
      <c r="E96" s="632"/>
      <c r="F96" s="631"/>
      <c r="G96" s="632"/>
      <c r="H96" s="633"/>
    </row>
    <row r="97" spans="1:8" s="607" customFormat="1" ht="13.5">
      <c r="A97" s="634"/>
      <c r="B97" s="635"/>
      <c r="C97" s="630"/>
      <c r="D97" s="631"/>
      <c r="E97" s="632"/>
      <c r="F97" s="631"/>
      <c r="G97" s="632"/>
      <c r="H97" s="633"/>
    </row>
    <row r="98" spans="1:8" s="607" customFormat="1" ht="13.5">
      <c r="A98" s="611"/>
      <c r="B98" s="635"/>
      <c r="C98" s="630"/>
      <c r="D98" s="631"/>
      <c r="E98" s="632"/>
      <c r="F98" s="631"/>
      <c r="G98" s="632"/>
      <c r="H98" s="633"/>
    </row>
    <row r="99" spans="1:8" s="607" customFormat="1" ht="13.5">
      <c r="A99" s="616"/>
      <c r="B99" s="635"/>
      <c r="C99" s="630"/>
      <c r="D99" s="631"/>
      <c r="E99" s="632"/>
      <c r="F99" s="631"/>
      <c r="G99" s="632"/>
      <c r="H99" s="633"/>
    </row>
    <row r="100" spans="1:10" s="607" customFormat="1" ht="13.5">
      <c r="A100" s="616"/>
      <c r="B100" s="635"/>
      <c r="C100" s="630"/>
      <c r="D100" s="631"/>
      <c r="E100" s="632"/>
      <c r="F100" s="631"/>
      <c r="G100" s="632"/>
      <c r="H100" s="633"/>
      <c r="I100" s="623"/>
      <c r="J100" s="623"/>
    </row>
    <row r="101" spans="1:10" s="607" customFormat="1" ht="13.5">
      <c r="A101" s="616"/>
      <c r="B101" s="635"/>
      <c r="C101" s="630"/>
      <c r="D101" s="631"/>
      <c r="E101" s="632"/>
      <c r="F101" s="631"/>
      <c r="G101" s="632"/>
      <c r="H101" s="633"/>
      <c r="I101" s="623"/>
      <c r="J101" s="623"/>
    </row>
    <row r="102" spans="1:10" s="607" customFormat="1" ht="13.5">
      <c r="A102" s="611"/>
      <c r="B102" s="635"/>
      <c r="C102" s="636"/>
      <c r="D102" s="637"/>
      <c r="E102" s="632"/>
      <c r="F102" s="637"/>
      <c r="G102" s="632"/>
      <c r="H102" s="633"/>
      <c r="I102" s="623"/>
      <c r="J102" s="623"/>
    </row>
    <row r="103" spans="1:10" s="607" customFormat="1" ht="13.5">
      <c r="A103" s="611"/>
      <c r="C103" s="638"/>
      <c r="D103" s="639"/>
      <c r="E103" s="632"/>
      <c r="F103" s="625"/>
      <c r="G103" s="625"/>
      <c r="H103" s="633"/>
      <c r="I103" s="623"/>
      <c r="J103" s="623"/>
    </row>
    <row r="104" spans="1:14" s="607" customFormat="1" ht="14.25">
      <c r="A104" s="600" t="s">
        <v>1</v>
      </c>
      <c r="B104" s="614" t="s">
        <v>162</v>
      </c>
      <c r="I104" s="606"/>
      <c r="J104" s="606"/>
      <c r="K104" s="613"/>
      <c r="L104" s="612"/>
      <c r="M104" s="612"/>
      <c r="N104" s="612"/>
    </row>
    <row r="105" spans="1:14" s="607" customFormat="1" ht="14.25">
      <c r="A105" s="600"/>
      <c r="C105" s="611"/>
      <c r="D105" s="611"/>
      <c r="I105" s="606"/>
      <c r="J105" s="606"/>
      <c r="K105" s="613"/>
      <c r="L105" s="612"/>
      <c r="M105" s="612"/>
      <c r="N105" s="612"/>
    </row>
    <row r="106" spans="1:14" s="607" customFormat="1" ht="13.5">
      <c r="A106" s="600"/>
      <c r="B106" s="610" t="s">
        <v>419</v>
      </c>
      <c r="E106" s="611"/>
      <c r="F106" s="640"/>
      <c r="G106" s="640"/>
      <c r="H106" s="640"/>
      <c r="I106" s="606"/>
      <c r="J106" s="606"/>
      <c r="K106" s="613"/>
      <c r="L106" s="612"/>
      <c r="M106" s="612"/>
      <c r="N106" s="612"/>
    </row>
    <row r="107" spans="1:14" s="607" customFormat="1" ht="13.5">
      <c r="A107" s="600"/>
      <c r="B107" s="610" t="s">
        <v>207</v>
      </c>
      <c r="C107" s="610"/>
      <c r="D107" s="610"/>
      <c r="E107" s="610"/>
      <c r="F107" s="610"/>
      <c r="G107" s="610"/>
      <c r="H107" s="610"/>
      <c r="I107" s="606"/>
      <c r="J107" s="606"/>
      <c r="K107" s="613"/>
      <c r="L107" s="612"/>
      <c r="M107" s="612"/>
      <c r="N107" s="612"/>
    </row>
    <row r="108" spans="1:14" s="607" customFormat="1" ht="13.5">
      <c r="A108" s="600"/>
      <c r="B108" s="610" t="s">
        <v>395</v>
      </c>
      <c r="C108" s="610"/>
      <c r="D108" s="610"/>
      <c r="E108" s="610"/>
      <c r="F108" s="610"/>
      <c r="G108" s="610"/>
      <c r="H108" s="610"/>
      <c r="I108" s="606"/>
      <c r="J108" s="606"/>
      <c r="K108" s="613"/>
      <c r="L108" s="612"/>
      <c r="M108" s="612"/>
      <c r="N108" s="612"/>
    </row>
    <row r="109" spans="1:14" s="607" customFormat="1" ht="13.5">
      <c r="A109" s="600"/>
      <c r="B109" s="610" t="s">
        <v>172</v>
      </c>
      <c r="C109" s="610"/>
      <c r="D109" s="610"/>
      <c r="E109" s="610"/>
      <c r="F109" s="610"/>
      <c r="G109" s="610"/>
      <c r="H109" s="610"/>
      <c r="I109" s="606"/>
      <c r="J109" s="606"/>
      <c r="K109" s="613"/>
      <c r="L109" s="612"/>
      <c r="M109" s="612"/>
      <c r="N109" s="612"/>
    </row>
    <row r="110" spans="1:14" s="607" customFormat="1" ht="13.5">
      <c r="A110" s="600"/>
      <c r="B110" s="610" t="s">
        <v>416</v>
      </c>
      <c r="C110" s="610"/>
      <c r="D110" s="610"/>
      <c r="E110" s="610"/>
      <c r="F110" s="610"/>
      <c r="G110" s="610"/>
      <c r="H110" s="610"/>
      <c r="I110" s="606"/>
      <c r="J110" s="606"/>
      <c r="K110" s="613"/>
      <c r="L110" s="612"/>
      <c r="M110" s="612"/>
      <c r="N110" s="612"/>
    </row>
    <row r="111" spans="1:14" s="607" customFormat="1" ht="13.5">
      <c r="A111" s="600"/>
      <c r="B111" s="610" t="s">
        <v>402</v>
      </c>
      <c r="C111" s="610"/>
      <c r="D111" s="610"/>
      <c r="E111" s="610"/>
      <c r="F111" s="610"/>
      <c r="G111" s="610"/>
      <c r="H111" s="610"/>
      <c r="I111" s="606"/>
      <c r="J111" s="606"/>
      <c r="K111" s="613"/>
      <c r="L111" s="612"/>
      <c r="M111" s="612"/>
      <c r="N111" s="612"/>
    </row>
    <row r="112" spans="1:14" s="607" customFormat="1" ht="13.5">
      <c r="A112" s="600"/>
      <c r="B112" s="610" t="s">
        <v>404</v>
      </c>
      <c r="C112" s="610"/>
      <c r="D112" s="610"/>
      <c r="E112" s="610"/>
      <c r="F112" s="610"/>
      <c r="G112" s="610"/>
      <c r="H112" s="610"/>
      <c r="I112" s="606"/>
      <c r="J112" s="606"/>
      <c r="K112" s="613"/>
      <c r="L112" s="612"/>
      <c r="M112" s="612"/>
      <c r="N112" s="612"/>
    </row>
    <row r="113" spans="1:14" s="607" customFormat="1" ht="13.5">
      <c r="A113" s="600"/>
      <c r="B113" s="610" t="s">
        <v>403</v>
      </c>
      <c r="C113" s="610"/>
      <c r="D113" s="610"/>
      <c r="E113" s="610"/>
      <c r="F113" s="610"/>
      <c r="G113" s="610"/>
      <c r="H113" s="610"/>
      <c r="I113" s="606"/>
      <c r="J113" s="606"/>
      <c r="K113" s="613"/>
      <c r="L113" s="612"/>
      <c r="M113" s="612"/>
      <c r="N113" s="612"/>
    </row>
    <row r="114" spans="1:14" s="607" customFormat="1" ht="13.5">
      <c r="A114" s="600"/>
      <c r="B114" s="609" t="s">
        <v>396</v>
      </c>
      <c r="C114" s="610"/>
      <c r="D114" s="610"/>
      <c r="E114" s="610"/>
      <c r="F114" s="610"/>
      <c r="G114" s="610"/>
      <c r="H114" s="610"/>
      <c r="I114" s="606"/>
      <c r="J114" s="606"/>
      <c r="K114" s="613"/>
      <c r="L114" s="612"/>
      <c r="M114" s="612"/>
      <c r="N114" s="612"/>
    </row>
    <row r="115" spans="1:14" s="607" customFormat="1" ht="13.5">
      <c r="A115" s="600"/>
      <c r="B115" s="641" t="s">
        <v>369</v>
      </c>
      <c r="C115" s="641"/>
      <c r="D115" s="641"/>
      <c r="E115" s="641"/>
      <c r="F115" s="641"/>
      <c r="G115" s="641"/>
      <c r="H115" s="641"/>
      <c r="I115" s="606"/>
      <c r="J115" s="606"/>
      <c r="K115" s="613"/>
      <c r="L115" s="612"/>
      <c r="M115" s="612"/>
      <c r="N115" s="612"/>
    </row>
    <row r="116" spans="1:14" s="607" customFormat="1" ht="14.25">
      <c r="A116" s="616"/>
      <c r="B116" s="640"/>
      <c r="C116" s="638"/>
      <c r="D116" s="639"/>
      <c r="E116" s="630"/>
      <c r="F116" s="641"/>
      <c r="G116" s="641"/>
      <c r="H116" s="625"/>
      <c r="I116" s="612"/>
      <c r="J116" s="612"/>
      <c r="K116" s="613"/>
      <c r="L116" s="612"/>
      <c r="M116" s="612"/>
      <c r="N116" s="612"/>
    </row>
    <row r="117" spans="1:7" s="607" customFormat="1" ht="13.5">
      <c r="A117" s="611" t="s">
        <v>2</v>
      </c>
      <c r="B117" s="614" t="s">
        <v>134</v>
      </c>
      <c r="C117" s="611"/>
      <c r="D117" s="603"/>
      <c r="E117" s="603"/>
      <c r="F117" s="623"/>
      <c r="G117" s="623"/>
    </row>
    <row r="118" spans="1:2" s="607" customFormat="1" ht="13.5">
      <c r="A118" s="611"/>
      <c r="B118" s="614"/>
    </row>
    <row r="119" spans="1:26" s="607" customFormat="1" ht="13.5">
      <c r="A119" s="611"/>
      <c r="B119" s="610" t="s">
        <v>397</v>
      </c>
      <c r="G119" s="624"/>
      <c r="Y119" s="602"/>
      <c r="Z119" s="602"/>
    </row>
    <row r="120" spans="1:26" s="607" customFormat="1" ht="13.5">
      <c r="A120" s="611"/>
      <c r="B120" s="610" t="s">
        <v>398</v>
      </c>
      <c r="G120" s="624"/>
      <c r="Y120" s="602"/>
      <c r="Z120" s="602"/>
    </row>
    <row r="121" spans="1:7" s="607" customFormat="1" ht="13.5">
      <c r="A121" s="611"/>
      <c r="B121" s="610"/>
      <c r="C121" s="610"/>
      <c r="D121" s="610"/>
      <c r="E121" s="610"/>
      <c r="F121" s="610"/>
      <c r="G121" s="610"/>
    </row>
    <row r="122" spans="1:2" s="607" customFormat="1" ht="13.5">
      <c r="A122" s="614" t="s">
        <v>3</v>
      </c>
      <c r="B122" s="614" t="s">
        <v>174</v>
      </c>
    </row>
    <row r="123" spans="1:2" s="607" customFormat="1" ht="13.5">
      <c r="A123" s="614"/>
      <c r="B123" s="614"/>
    </row>
    <row r="124" spans="1:8" s="607" customFormat="1" ht="13.5">
      <c r="A124" s="614"/>
      <c r="B124" s="610" t="s">
        <v>370</v>
      </c>
      <c r="C124" s="614"/>
      <c r="D124" s="610"/>
      <c r="E124" s="610"/>
      <c r="F124" s="610"/>
      <c r="G124" s="610"/>
      <c r="H124" s="610"/>
    </row>
    <row r="125" spans="1:8" s="607" customFormat="1" ht="13.5">
      <c r="A125" s="614"/>
      <c r="B125" s="610" t="s">
        <v>399</v>
      </c>
      <c r="C125" s="614"/>
      <c r="D125" s="610"/>
      <c r="E125" s="610"/>
      <c r="F125" s="610"/>
      <c r="G125" s="610"/>
      <c r="H125" s="610"/>
    </row>
    <row r="126" spans="1:8" s="607" customFormat="1" ht="13.5">
      <c r="A126" s="614"/>
      <c r="B126" s="642"/>
      <c r="C126" s="604"/>
      <c r="D126" s="604"/>
      <c r="E126" s="610"/>
      <c r="F126" s="610"/>
      <c r="G126" s="610"/>
      <c r="H126" s="610"/>
    </row>
    <row r="127" spans="1:8" s="607" customFormat="1" ht="13.5">
      <c r="A127" s="614"/>
      <c r="B127" s="642"/>
      <c r="C127" s="604"/>
      <c r="D127" s="604"/>
      <c r="E127" s="610"/>
      <c r="F127" s="610"/>
      <c r="G127" s="610"/>
      <c r="H127" s="610"/>
    </row>
    <row r="128" spans="1:8" s="607" customFormat="1" ht="13.5">
      <c r="A128" s="614"/>
      <c r="B128" s="642"/>
      <c r="C128" s="604"/>
      <c r="D128" s="604"/>
      <c r="E128" s="610"/>
      <c r="F128" s="610"/>
      <c r="G128" s="610"/>
      <c r="H128" s="610"/>
    </row>
    <row r="129" spans="1:8" s="607" customFormat="1" ht="13.5">
      <c r="A129" s="614"/>
      <c r="B129" s="642"/>
      <c r="C129" s="604"/>
      <c r="D129" s="604"/>
      <c r="E129" s="610"/>
      <c r="F129" s="610"/>
      <c r="G129" s="610"/>
      <c r="H129" s="610"/>
    </row>
    <row r="130" spans="1:8" s="607" customFormat="1" ht="13.5">
      <c r="A130" s="614"/>
      <c r="B130" s="642"/>
      <c r="C130" s="604"/>
      <c r="D130" s="604"/>
      <c r="E130" s="610"/>
      <c r="F130" s="610"/>
      <c r="G130" s="610"/>
      <c r="H130" s="610"/>
    </row>
    <row r="131" spans="1:8" ht="13.5">
      <c r="A131" s="35"/>
      <c r="B131" s="359"/>
      <c r="C131" s="97"/>
      <c r="D131" s="97"/>
      <c r="E131" s="64"/>
      <c r="F131" s="64"/>
      <c r="G131" s="64"/>
      <c r="H131" s="64"/>
    </row>
    <row r="132" spans="1:8" ht="13.5">
      <c r="A132" s="35"/>
      <c r="B132" s="359"/>
      <c r="C132" s="97"/>
      <c r="D132" s="97"/>
      <c r="E132" s="64"/>
      <c r="F132" s="64"/>
      <c r="G132" s="64"/>
      <c r="H132" s="64"/>
    </row>
    <row r="133" spans="1:8" ht="13.5">
      <c r="A133" s="35"/>
      <c r="B133" s="359"/>
      <c r="C133" s="97"/>
      <c r="D133" s="97"/>
      <c r="E133" s="64"/>
      <c r="F133" s="64"/>
      <c r="G133" s="64"/>
      <c r="H133" s="64"/>
    </row>
    <row r="134" spans="1:8" ht="13.5">
      <c r="A134" s="35"/>
      <c r="B134" s="359"/>
      <c r="C134" s="97"/>
      <c r="D134" s="97"/>
      <c r="E134" s="64"/>
      <c r="F134" s="64"/>
      <c r="G134" s="64"/>
      <c r="H134" s="64"/>
    </row>
    <row r="135" spans="1:8" ht="13.5">
      <c r="A135" s="35"/>
      <c r="B135" s="359"/>
      <c r="C135" s="97"/>
      <c r="D135" s="97"/>
      <c r="E135" s="64"/>
      <c r="F135" s="64"/>
      <c r="G135" s="64"/>
      <c r="H135" s="64"/>
    </row>
    <row r="136" spans="1:8" ht="13.5">
      <c r="A136" s="35"/>
      <c r="B136" s="359"/>
      <c r="C136" s="97"/>
      <c r="D136" s="97"/>
      <c r="E136" s="64"/>
      <c r="F136" s="64"/>
      <c r="G136" s="64"/>
      <c r="H136" s="64"/>
    </row>
    <row r="137" spans="1:8" ht="13.5">
      <c r="A137" s="35"/>
      <c r="B137" s="359"/>
      <c r="C137" s="97"/>
      <c r="D137" s="97"/>
      <c r="E137" s="64"/>
      <c r="F137" s="64"/>
      <c r="G137" s="64"/>
      <c r="H137" s="64"/>
    </row>
    <row r="138" spans="1:8" ht="13.5">
      <c r="A138" s="35"/>
      <c r="B138" s="359"/>
      <c r="C138" s="97"/>
      <c r="D138" s="97"/>
      <c r="E138" s="64"/>
      <c r="F138" s="64"/>
      <c r="G138" s="64"/>
      <c r="H138" s="64"/>
    </row>
    <row r="139" spans="1:8" ht="13.5">
      <c r="A139" s="35"/>
      <c r="B139" s="359"/>
      <c r="C139" s="97"/>
      <c r="D139" s="97"/>
      <c r="E139" s="64"/>
      <c r="F139" s="64"/>
      <c r="G139" s="64"/>
      <c r="H139" s="64"/>
    </row>
    <row r="140" spans="1:8" ht="13.5">
      <c r="A140" s="35"/>
      <c r="B140" s="359"/>
      <c r="C140" s="97"/>
      <c r="D140" s="97"/>
      <c r="E140" s="64"/>
      <c r="F140" s="64"/>
      <c r="G140" s="64"/>
      <c r="H140" s="64"/>
    </row>
    <row r="141" spans="1:8" ht="13.5">
      <c r="A141" s="35"/>
      <c r="B141" s="359"/>
      <c r="C141" s="97"/>
      <c r="D141" s="97"/>
      <c r="E141" s="64"/>
      <c r="F141" s="64"/>
      <c r="G141" s="64"/>
      <c r="H141" s="64"/>
    </row>
    <row r="142" spans="1:8" ht="13.5">
      <c r="A142" s="35"/>
      <c r="B142" s="359"/>
      <c r="C142" s="97"/>
      <c r="D142" s="97"/>
      <c r="E142" s="64"/>
      <c r="F142" s="64"/>
      <c r="G142" s="64"/>
      <c r="H142" s="64"/>
    </row>
    <row r="143" spans="1:8" ht="13.5">
      <c r="A143" s="35"/>
      <c r="B143" s="359"/>
      <c r="C143" s="97"/>
      <c r="D143" s="97"/>
      <c r="E143" s="64"/>
      <c r="F143" s="64"/>
      <c r="G143" s="64"/>
      <c r="H143" s="64"/>
    </row>
    <row r="144" spans="1:8" ht="13.5">
      <c r="A144" s="35"/>
      <c r="B144" s="359"/>
      <c r="C144" s="97"/>
      <c r="D144" s="97"/>
      <c r="E144" s="64"/>
      <c r="F144" s="64"/>
      <c r="G144" s="64"/>
      <c r="H144" s="64"/>
    </row>
    <row r="145" spans="1:8" ht="13.5">
      <c r="A145" s="35"/>
      <c r="B145" s="359"/>
      <c r="C145" s="97"/>
      <c r="D145" s="97"/>
      <c r="E145" s="64"/>
      <c r="F145" s="64"/>
      <c r="G145" s="64"/>
      <c r="H145" s="64"/>
    </row>
    <row r="146" spans="1:8" ht="13.5">
      <c r="A146" s="35"/>
      <c r="B146" s="359"/>
      <c r="C146" s="97"/>
      <c r="D146" s="97"/>
      <c r="E146" s="64"/>
      <c r="F146" s="64"/>
      <c r="G146" s="64"/>
      <c r="H146" s="64"/>
    </row>
    <row r="147" spans="1:8" ht="13.5">
      <c r="A147" s="35"/>
      <c r="B147" s="359"/>
      <c r="C147" s="97"/>
      <c r="D147" s="97"/>
      <c r="E147" s="64"/>
      <c r="F147" s="64"/>
      <c r="G147" s="64"/>
      <c r="H147" s="64"/>
    </row>
    <row r="148" spans="1:8" ht="13.5">
      <c r="A148" s="35"/>
      <c r="B148" s="359"/>
      <c r="C148" s="97"/>
      <c r="D148" s="97"/>
      <c r="E148" s="64"/>
      <c r="F148" s="64"/>
      <c r="G148" s="64"/>
      <c r="H148" s="64"/>
    </row>
    <row r="149" spans="1:8" ht="13.5">
      <c r="A149" s="35"/>
      <c r="B149" s="359"/>
      <c r="C149" s="97"/>
      <c r="D149" s="97"/>
      <c r="E149" s="64"/>
      <c r="F149" s="64"/>
      <c r="G149" s="64"/>
      <c r="H149" s="64"/>
    </row>
    <row r="150" spans="1:8" ht="13.5">
      <c r="A150" s="35"/>
      <c r="B150" s="359"/>
      <c r="C150" s="97"/>
      <c r="D150" s="97"/>
      <c r="E150" s="64"/>
      <c r="F150" s="64"/>
      <c r="G150" s="64"/>
      <c r="H150" s="64"/>
    </row>
    <row r="151" spans="1:8" ht="13.5">
      <c r="A151" s="35"/>
      <c r="B151" s="359"/>
      <c r="C151" s="97"/>
      <c r="D151" s="97"/>
      <c r="E151" s="64"/>
      <c r="F151" s="64"/>
      <c r="G151" s="64"/>
      <c r="H151" s="64"/>
    </row>
    <row r="152" spans="1:8" ht="13.5">
      <c r="A152" s="35"/>
      <c r="B152" s="359"/>
      <c r="C152" s="97"/>
      <c r="D152" s="97"/>
      <c r="E152" s="64"/>
      <c r="F152" s="64"/>
      <c r="G152" s="64"/>
      <c r="H152" s="64"/>
    </row>
    <row r="153" spans="1:23" ht="13.5">
      <c r="A153" s="46"/>
      <c r="B153" s="35" t="s">
        <v>166</v>
      </c>
      <c r="D153" s="34" t="s">
        <v>167</v>
      </c>
      <c r="E153" s="145"/>
      <c r="F153" s="142"/>
      <c r="G153" s="44"/>
      <c r="J153" s="16"/>
      <c r="W153" s="50" t="s">
        <v>177</v>
      </c>
    </row>
    <row r="154" spans="1:10" ht="13.5">
      <c r="A154" s="46"/>
      <c r="B154" s="37" t="s">
        <v>33</v>
      </c>
      <c r="C154" s="34" t="s">
        <v>218</v>
      </c>
      <c r="D154" s="34"/>
      <c r="E154" s="47"/>
      <c r="F154" s="45"/>
      <c r="J154" s="16"/>
    </row>
    <row r="155" spans="1:10" ht="13.5">
      <c r="A155" s="46"/>
      <c r="B155" s="37" t="s">
        <v>34</v>
      </c>
      <c r="C155" s="34" t="s">
        <v>219</v>
      </c>
      <c r="D155" s="34"/>
      <c r="E155" s="34"/>
      <c r="F155" s="34"/>
      <c r="J155" s="16"/>
    </row>
    <row r="156" spans="1:10" ht="18">
      <c r="A156" s="46"/>
      <c r="B156" s="38" t="s">
        <v>35</v>
      </c>
      <c r="C156" s="34" t="s">
        <v>220</v>
      </c>
      <c r="D156" s="34"/>
      <c r="E156" s="34"/>
      <c r="F156" s="34"/>
      <c r="G156" s="45"/>
      <c r="J156" s="16"/>
    </row>
    <row r="157" spans="1:10" ht="13.5">
      <c r="A157" s="46"/>
      <c r="B157" s="34"/>
      <c r="C157" s="34" t="s">
        <v>362</v>
      </c>
      <c r="D157" s="34"/>
      <c r="E157" s="34"/>
      <c r="F157" s="130"/>
      <c r="G157" s="45"/>
      <c r="J157" s="16"/>
    </row>
    <row r="158" spans="1:10" ht="13.5">
      <c r="A158" s="46"/>
      <c r="B158" s="124" t="s">
        <v>80</v>
      </c>
      <c r="C158" s="45"/>
      <c r="D158" s="45"/>
      <c r="E158" s="34"/>
      <c r="F158" s="41"/>
      <c r="G158" s="45"/>
      <c r="J158" s="16"/>
    </row>
    <row r="159" spans="2:5" ht="12.75">
      <c r="B159" s="45"/>
      <c r="C159" s="45"/>
      <c r="D159" s="45"/>
      <c r="E159" s="45"/>
    </row>
    <row r="160" spans="2:5" ht="12.75">
      <c r="B160" s="45"/>
      <c r="C160" s="45"/>
      <c r="D160" s="45"/>
      <c r="E160" s="45"/>
    </row>
    <row r="161" spans="2:5" ht="12.75">
      <c r="B161" s="45"/>
      <c r="C161" s="45"/>
      <c r="D161" s="45"/>
      <c r="E161" s="45"/>
    </row>
    <row r="162" spans="1:5" ht="13.5">
      <c r="A162" s="35"/>
      <c r="C162" s="46"/>
      <c r="D162" s="45"/>
      <c r="E162" s="45"/>
    </row>
    <row r="163" spans="1:8" ht="13.5">
      <c r="A163" s="35"/>
      <c r="B163" s="64"/>
      <c r="C163" s="69"/>
      <c r="D163" s="64"/>
      <c r="E163" s="64"/>
      <c r="F163" s="64"/>
      <c r="G163" s="64"/>
      <c r="H163" s="64"/>
    </row>
    <row r="164" spans="1:10" ht="13.5">
      <c r="A164" s="205" t="s">
        <v>4</v>
      </c>
      <c r="B164" s="275" t="s">
        <v>14</v>
      </c>
      <c r="C164" s="239"/>
      <c r="D164" s="45"/>
      <c r="E164" s="45"/>
      <c r="F164" s="48"/>
      <c r="J164" s="16"/>
    </row>
    <row r="165" spans="2:26" ht="13.5">
      <c r="B165" s="69"/>
      <c r="C165" s="46"/>
      <c r="D165" s="45"/>
      <c r="E165" s="45"/>
      <c r="F165" s="48"/>
      <c r="J165" s="16"/>
      <c r="Y165" s="16"/>
      <c r="Z165" s="16"/>
    </row>
    <row r="166" spans="1:7" s="16" customFormat="1" ht="13.5">
      <c r="A166" s="238"/>
      <c r="B166" s="64" t="s">
        <v>209</v>
      </c>
      <c r="C166" s="64"/>
      <c r="D166" s="64"/>
      <c r="E166" s="64"/>
      <c r="F166" s="64"/>
      <c r="G166" s="64"/>
    </row>
    <row r="167" spans="1:7" s="16" customFormat="1" ht="13.5">
      <c r="A167" s="238"/>
      <c r="B167" s="64" t="s">
        <v>210</v>
      </c>
      <c r="C167" s="64"/>
      <c r="D167" s="64"/>
      <c r="E167" s="64"/>
      <c r="F167" s="64"/>
      <c r="G167" s="64"/>
    </row>
    <row r="168" spans="1:7" s="16" customFormat="1" ht="13.5">
      <c r="A168" s="397"/>
      <c r="B168" s="64" t="s">
        <v>173</v>
      </c>
      <c r="C168" s="64"/>
      <c r="D168" s="64"/>
      <c r="E168" s="64"/>
      <c r="F168" s="64"/>
      <c r="G168" s="64"/>
    </row>
    <row r="169" spans="1:7" s="16" customFormat="1" ht="13.5">
      <c r="A169" s="397"/>
      <c r="B169" s="64" t="s">
        <v>339</v>
      </c>
      <c r="C169" s="64"/>
      <c r="D169" s="64"/>
      <c r="E169" s="64"/>
      <c r="F169" s="64"/>
      <c r="G169" s="64"/>
    </row>
    <row r="170" spans="1:26" s="16" customFormat="1" ht="13.5">
      <c r="A170" s="397"/>
      <c r="B170" s="64" t="s">
        <v>338</v>
      </c>
      <c r="C170" s="64"/>
      <c r="D170" s="64"/>
      <c r="E170" s="64"/>
      <c r="F170" s="64"/>
      <c r="G170" s="64"/>
      <c r="Y170"/>
      <c r="Z170"/>
    </row>
    <row r="171" spans="1:26" s="16" customFormat="1" ht="13.5">
      <c r="A171" s="397"/>
      <c r="B171" s="64" t="s">
        <v>420</v>
      </c>
      <c r="C171" s="64"/>
      <c r="D171" s="64"/>
      <c r="E171" s="64"/>
      <c r="F171" s="64"/>
      <c r="G171" s="64"/>
      <c r="Y171"/>
      <c r="Z171"/>
    </row>
    <row r="172" spans="1:26" s="16" customFormat="1" ht="13.5">
      <c r="A172" s="397"/>
      <c r="B172" s="64" t="s">
        <v>421</v>
      </c>
      <c r="C172" s="64"/>
      <c r="D172" s="64"/>
      <c r="E172" s="64"/>
      <c r="F172" s="64"/>
      <c r="G172" s="64"/>
      <c r="Y172"/>
      <c r="Z172"/>
    </row>
    <row r="173" spans="1:26" s="16" customFormat="1" ht="13.5">
      <c r="A173" s="238"/>
      <c r="B173" s="275"/>
      <c r="C173" s="64"/>
      <c r="D173" s="64"/>
      <c r="E173" s="64"/>
      <c r="F173" s="64"/>
      <c r="G173" s="64"/>
      <c r="H173" s="64"/>
      <c r="Y173"/>
      <c r="Z173"/>
    </row>
    <row r="174" spans="1:23" ht="13.5">
      <c r="A174" s="46" t="s">
        <v>5</v>
      </c>
      <c r="B174" s="64" t="s">
        <v>202</v>
      </c>
      <c r="I174" s="34"/>
      <c r="J174" s="6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:23" ht="13.5">
      <c r="A175" s="46"/>
      <c r="B175" s="64"/>
      <c r="I175" s="34"/>
      <c r="J175" s="6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:23" ht="13.5">
      <c r="A176" s="46"/>
      <c r="B176" s="34" t="s">
        <v>400</v>
      </c>
      <c r="C176" s="34"/>
      <c r="D176" s="34"/>
      <c r="I176" s="34"/>
      <c r="J176" s="6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ht="13.5">
      <c r="A177" s="46"/>
      <c r="B177" s="34"/>
      <c r="I177" s="34"/>
      <c r="J177" s="6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 ht="13.5">
      <c r="A178" s="46" t="s">
        <v>6</v>
      </c>
      <c r="B178" s="34" t="s">
        <v>142</v>
      </c>
      <c r="C178" s="34"/>
      <c r="I178" s="34"/>
      <c r="J178" s="6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:23" ht="13.5">
      <c r="A179" s="46"/>
      <c r="B179" s="34"/>
      <c r="C179" s="34"/>
      <c r="I179" s="34"/>
      <c r="J179" s="6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ht="13.5">
      <c r="A180" s="46"/>
      <c r="B180" s="34" t="s">
        <v>340</v>
      </c>
      <c r="I180" s="34"/>
      <c r="J180" s="6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ht="13.5">
      <c r="A181" s="46"/>
      <c r="B181" s="34" t="s">
        <v>341</v>
      </c>
      <c r="I181" s="34"/>
      <c r="J181" s="6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1:23" ht="13.5">
      <c r="A182" s="46"/>
      <c r="B182" s="34"/>
      <c r="I182" s="34"/>
      <c r="J182" s="6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1:23" ht="13.5">
      <c r="A183" s="46" t="s">
        <v>8</v>
      </c>
      <c r="B183" s="69" t="s">
        <v>106</v>
      </c>
      <c r="H183" s="45"/>
      <c r="I183" s="34"/>
      <c r="J183" s="6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:10" ht="13.5">
      <c r="A184" s="46"/>
      <c r="B184" s="69"/>
      <c r="H184" s="45"/>
      <c r="J184" s="16"/>
    </row>
    <row r="185" spans="1:10" ht="13.5">
      <c r="A185" s="46"/>
      <c r="B185" s="64" t="s">
        <v>371</v>
      </c>
      <c r="C185" s="64"/>
      <c r="D185" s="64"/>
      <c r="E185" s="64"/>
      <c r="F185" s="64"/>
      <c r="G185" s="64"/>
      <c r="H185" s="143"/>
      <c r="J185" s="16"/>
    </row>
    <row r="186" spans="1:10" ht="13.5">
      <c r="A186" s="46"/>
      <c r="B186" s="64" t="s">
        <v>135</v>
      </c>
      <c r="C186" s="64"/>
      <c r="D186" s="64"/>
      <c r="E186" s="64"/>
      <c r="F186" s="64"/>
      <c r="G186" s="64"/>
      <c r="H186" s="143"/>
      <c r="J186" s="16"/>
    </row>
    <row r="187" spans="1:10" ht="13.5">
      <c r="A187" s="46"/>
      <c r="B187" s="64"/>
      <c r="C187" s="64"/>
      <c r="D187" s="64"/>
      <c r="E187" s="64"/>
      <c r="F187" s="64"/>
      <c r="G187" s="64"/>
      <c r="H187" s="143"/>
      <c r="J187" s="16"/>
    </row>
    <row r="188" spans="1:10" ht="13.5">
      <c r="A188" s="46"/>
      <c r="B188" s="69" t="s">
        <v>110</v>
      </c>
      <c r="C188" s="64"/>
      <c r="D188" s="64"/>
      <c r="E188" s="64"/>
      <c r="F188" s="64"/>
      <c r="G188" s="64"/>
      <c r="H188" s="16"/>
      <c r="J188" s="16"/>
    </row>
    <row r="189" spans="1:10" ht="13.5">
      <c r="A189" s="46"/>
      <c r="B189" s="69"/>
      <c r="C189" s="64"/>
      <c r="D189" s="64"/>
      <c r="E189" s="64"/>
      <c r="F189" s="64"/>
      <c r="G189" s="64"/>
      <c r="H189" s="16"/>
      <c r="J189" s="16"/>
    </row>
    <row r="190" spans="1:10" ht="13.5">
      <c r="A190" s="240" t="s">
        <v>10</v>
      </c>
      <c r="B190" s="64" t="s">
        <v>96</v>
      </c>
      <c r="C190" s="64"/>
      <c r="D190" s="64"/>
      <c r="E190" s="64"/>
      <c r="F190" s="64"/>
      <c r="G190" s="64"/>
      <c r="H190" s="16"/>
      <c r="J190" s="16"/>
    </row>
    <row r="191" spans="1:10" ht="13.5">
      <c r="A191" s="240"/>
      <c r="B191" s="64" t="s">
        <v>143</v>
      </c>
      <c r="C191" s="64"/>
      <c r="D191" s="64"/>
      <c r="E191" s="64"/>
      <c r="F191" s="64"/>
      <c r="G191" s="64"/>
      <c r="J191" s="16"/>
    </row>
    <row r="192" spans="2:10" ht="13.5">
      <c r="B192" s="64"/>
      <c r="C192" s="64"/>
      <c r="D192" s="64"/>
      <c r="E192" s="64"/>
      <c r="F192" s="64"/>
      <c r="G192" s="64"/>
      <c r="J192" s="16"/>
    </row>
    <row r="193" ht="12.75">
      <c r="J193" s="16"/>
    </row>
    <row r="194" spans="4:10" ht="13.5">
      <c r="D194" s="60"/>
      <c r="J194" s="16"/>
    </row>
    <row r="195" spans="1:10" ht="13.5">
      <c r="A195" s="35"/>
      <c r="J195" s="16"/>
    </row>
    <row r="196" spans="1:10" ht="13.5">
      <c r="A196" s="35"/>
      <c r="J196" s="16"/>
    </row>
    <row r="197" ht="12.75">
      <c r="J197" s="16"/>
    </row>
    <row r="198" ht="12.75">
      <c r="J198" s="16"/>
    </row>
    <row r="199" ht="12.75">
      <c r="J199" s="16"/>
    </row>
    <row r="200" ht="12.75">
      <c r="J200" s="16"/>
    </row>
    <row r="201" ht="12.75">
      <c r="J201" s="16"/>
    </row>
    <row r="202" ht="12.75">
      <c r="J202" s="16"/>
    </row>
    <row r="203" ht="12.75">
      <c r="J203" s="16"/>
    </row>
    <row r="204" ht="12.75">
      <c r="J204" s="16"/>
    </row>
    <row r="205" ht="12.75">
      <c r="J205" s="16"/>
    </row>
    <row r="206" ht="12.75">
      <c r="J206" s="16"/>
    </row>
    <row r="207" spans="3:10" ht="12.75">
      <c r="C207" s="1"/>
      <c r="J207" s="16"/>
    </row>
    <row r="208" spans="3:10" ht="12.75">
      <c r="C208" s="1"/>
      <c r="J208" s="16"/>
    </row>
    <row r="209" spans="3:10" ht="12.75">
      <c r="C209" s="1"/>
      <c r="J209" s="16"/>
    </row>
    <row r="210" spans="3:10" ht="12.75">
      <c r="C210" s="1"/>
      <c r="J210" s="16"/>
    </row>
    <row r="211" spans="3:10" ht="12.75">
      <c r="C211" s="1"/>
      <c r="J211" s="16"/>
    </row>
    <row r="212" ht="12.75">
      <c r="C212" s="1"/>
    </row>
    <row r="213" ht="12.75">
      <c r="C213" s="1"/>
    </row>
    <row r="214" ht="12.75">
      <c r="C214" s="1"/>
    </row>
    <row r="215" ht="13.5" thickBot="1">
      <c r="B215" s="279"/>
    </row>
    <row r="216" spans="2:3" ht="12.75">
      <c r="B216" t="s">
        <v>169</v>
      </c>
      <c r="C216" s="1">
        <f>'PJ-čistoća-prihod-ok'!E21</f>
        <v>1862550</v>
      </c>
    </row>
    <row r="217" spans="2:3" ht="12.75">
      <c r="B217" t="s">
        <v>170</v>
      </c>
      <c r="C217" s="1">
        <f>'PJ-čistoća-prihod-ok'!E26</f>
        <v>4060450</v>
      </c>
    </row>
    <row r="219" spans="2:3" ht="12.75">
      <c r="B219" s="8" t="s">
        <v>192</v>
      </c>
      <c r="C219" s="1">
        <f>'PJ-čistoća-prihod-ok'!E22+'PJ-čistoća-prihod-ok'!E27</f>
        <v>4100000</v>
      </c>
    </row>
    <row r="220" spans="2:3" ht="12.75">
      <c r="B220" t="s">
        <v>171</v>
      </c>
      <c r="C220" s="1">
        <f>'PJ-čistoća-prihod-ok'!E24+'PJ-čistoća-prihod-ok'!E29</f>
        <v>1020000</v>
      </c>
    </row>
    <row r="236" ht="13.5">
      <c r="B236" s="64"/>
    </row>
    <row r="237" ht="13.5">
      <c r="B237" s="64"/>
    </row>
    <row r="238" ht="13.5">
      <c r="B238" s="64"/>
    </row>
    <row r="239" ht="13.5">
      <c r="B239" s="64"/>
    </row>
    <row r="240" ht="13.5">
      <c r="B240" s="64"/>
    </row>
  </sheetData>
  <sheetProtection/>
  <hyperlinks>
    <hyperlink ref="B6" r:id="rId1" display="www.ivanj.net"/>
    <hyperlink ref="B82" r:id="rId2" display="www.ivanj.net"/>
    <hyperlink ref="B158" r:id="rId3" display="www.ivanj.net"/>
  </hyperlinks>
  <printOptions/>
  <pageMargins left="0.15748031496062992" right="0.1968503937007874" top="0.3937007874015748" bottom="0.1968503937007874" header="0.5118110236220472" footer="0.5118110236220472"/>
  <pageSetup horizontalDpi="600" verticalDpi="600" orientation="portrait" paperSize="9" scale="8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479"/>
  <sheetViews>
    <sheetView tabSelected="1" zoomScaleSheetLayoutView="100" zoomScalePageLayoutView="0" workbookViewId="0" topLeftCell="A298">
      <selection activeCell="B72" sqref="B72"/>
    </sheetView>
  </sheetViews>
  <sheetFormatPr defaultColWidth="8.8515625" defaultRowHeight="12.75"/>
  <cols>
    <col min="1" max="1" width="6.7109375" style="0" customWidth="1"/>
    <col min="2" max="2" width="35.7109375" style="0" customWidth="1"/>
    <col min="3" max="3" width="15.7109375" style="0" customWidth="1"/>
    <col min="4" max="4" width="7.7109375" style="0" customWidth="1"/>
    <col min="5" max="5" width="16.57421875" style="0" customWidth="1"/>
    <col min="6" max="6" width="8.00390625" style="0" bestFit="1" customWidth="1"/>
    <col min="7" max="7" width="10.28125" style="0" customWidth="1"/>
    <col min="8" max="8" width="10.140625" style="0" customWidth="1"/>
    <col min="9" max="9" width="12.7109375" style="0" bestFit="1" customWidth="1"/>
    <col min="10" max="13" width="8.8515625" style="0" customWidth="1"/>
    <col min="14" max="14" width="11.7109375" style="0" bestFit="1" customWidth="1"/>
  </cols>
  <sheetData>
    <row r="1" spans="1:7" ht="13.5">
      <c r="A1" s="34"/>
      <c r="B1" s="35" t="s">
        <v>166</v>
      </c>
      <c r="C1" s="34"/>
      <c r="D1" s="34"/>
      <c r="E1" s="34"/>
      <c r="G1" s="50" t="s">
        <v>178</v>
      </c>
    </row>
    <row r="2" spans="1:7" ht="13.5">
      <c r="A2" s="34"/>
      <c r="B2" s="37" t="s">
        <v>33</v>
      </c>
      <c r="C2" s="34" t="s">
        <v>218</v>
      </c>
      <c r="D2" s="34"/>
      <c r="E2" s="34"/>
      <c r="F2" s="45"/>
      <c r="G2" s="50"/>
    </row>
    <row r="3" spans="1:7" ht="13.5">
      <c r="A3" s="162"/>
      <c r="B3" s="37" t="s">
        <v>34</v>
      </c>
      <c r="C3" s="34" t="s">
        <v>219</v>
      </c>
      <c r="D3" s="34"/>
      <c r="E3" s="34"/>
      <c r="F3" s="45"/>
      <c r="G3" s="50"/>
    </row>
    <row r="4" spans="1:7" ht="18">
      <c r="A4" s="34"/>
      <c r="B4" s="38" t="s">
        <v>35</v>
      </c>
      <c r="C4" s="34" t="s">
        <v>220</v>
      </c>
      <c r="D4" s="34"/>
      <c r="E4" s="34"/>
      <c r="F4" s="51"/>
      <c r="G4" s="48"/>
    </row>
    <row r="5" spans="1:7" ht="13.5">
      <c r="A5" s="34"/>
      <c r="B5" s="34"/>
      <c r="C5" s="34" t="s">
        <v>378</v>
      </c>
      <c r="D5" s="34"/>
      <c r="E5" s="34"/>
      <c r="F5" s="48"/>
      <c r="G5" s="48"/>
    </row>
    <row r="6" spans="1:7" ht="12.75">
      <c r="A6" s="46"/>
      <c r="B6" s="124" t="s">
        <v>80</v>
      </c>
      <c r="C6" s="45"/>
      <c r="D6" s="45"/>
      <c r="E6" s="45"/>
      <c r="F6" s="48"/>
      <c r="G6" s="48"/>
    </row>
    <row r="7" spans="2:7" ht="15">
      <c r="B7" s="53" t="s">
        <v>405</v>
      </c>
      <c r="D7" s="49"/>
      <c r="E7" s="45"/>
      <c r="F7" s="48"/>
      <c r="G7" s="45"/>
    </row>
    <row r="8" spans="1:7" ht="15">
      <c r="A8" s="45"/>
      <c r="B8" s="57" t="s">
        <v>406</v>
      </c>
      <c r="D8" s="58"/>
      <c r="E8" s="45"/>
      <c r="F8" s="48"/>
      <c r="G8" s="45"/>
    </row>
    <row r="9" spans="1:2" ht="13.5" thickBot="1">
      <c r="A9" s="45"/>
      <c r="B9" s="45"/>
    </row>
    <row r="10" spans="1:7" ht="12.75">
      <c r="A10" s="257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59">
        <v>7</v>
      </c>
    </row>
    <row r="11" spans="1:7" ht="12.75">
      <c r="A11" s="258"/>
      <c r="B11" s="21"/>
      <c r="C11" s="21"/>
      <c r="D11" s="21"/>
      <c r="E11" s="21"/>
      <c r="F11" s="21"/>
      <c r="G11" s="248"/>
    </row>
    <row r="12" spans="1:7" ht="13.5">
      <c r="A12" s="260"/>
      <c r="B12" s="247"/>
      <c r="C12" s="147" t="s">
        <v>363</v>
      </c>
      <c r="D12" s="147" t="s">
        <v>363</v>
      </c>
      <c r="E12" s="147" t="s">
        <v>382</v>
      </c>
      <c r="F12" s="147" t="s">
        <v>382</v>
      </c>
      <c r="G12" s="301" t="s">
        <v>407</v>
      </c>
    </row>
    <row r="13" spans="1:7" ht="13.5" thickBot="1">
      <c r="A13" s="261"/>
      <c r="B13" s="148"/>
      <c r="C13" s="148"/>
      <c r="D13" s="148"/>
      <c r="E13" s="148"/>
      <c r="F13" s="148"/>
      <c r="G13" s="262"/>
    </row>
    <row r="14" spans="1:7" ht="12.75">
      <c r="A14" s="263"/>
      <c r="B14" s="206"/>
      <c r="C14" s="482" t="s">
        <v>17</v>
      </c>
      <c r="D14" s="482" t="s">
        <v>18</v>
      </c>
      <c r="E14" s="378" t="s">
        <v>17</v>
      </c>
      <c r="F14" s="378" t="s">
        <v>18</v>
      </c>
      <c r="G14" s="378" t="s">
        <v>75</v>
      </c>
    </row>
    <row r="15" spans="1:7" ht="13.5" thickBot="1">
      <c r="A15" s="263"/>
      <c r="B15" s="264"/>
      <c r="C15" s="488" t="s">
        <v>16</v>
      </c>
      <c r="D15" s="488" t="s">
        <v>15</v>
      </c>
      <c r="E15" s="379" t="s">
        <v>16</v>
      </c>
      <c r="F15" s="379" t="s">
        <v>15</v>
      </c>
      <c r="G15" s="265" t="s">
        <v>76</v>
      </c>
    </row>
    <row r="16" spans="1:7" ht="13.5" thickBot="1">
      <c r="A16" s="260" t="s">
        <v>109</v>
      </c>
      <c r="B16" s="247" t="s">
        <v>114</v>
      </c>
      <c r="C16" s="486"/>
      <c r="D16" s="486"/>
      <c r="E16" s="487"/>
      <c r="F16" s="487"/>
      <c r="G16" s="491"/>
    </row>
    <row r="17" spans="1:14" s="205" customFormat="1" ht="13.5">
      <c r="A17" s="246" t="s">
        <v>0</v>
      </c>
      <c r="B17" s="206" t="s">
        <v>115</v>
      </c>
      <c r="C17" s="43">
        <f>+SUM(C18:C21)</f>
        <v>6040100</v>
      </c>
      <c r="D17" s="484">
        <f>+$C17/$C$34*100</f>
        <v>41.9380609382723</v>
      </c>
      <c r="E17" s="489">
        <f>+SUM(E18:E21)</f>
        <v>8512741.280000001</v>
      </c>
      <c r="F17" s="490">
        <f>+$E17/$E$34*100</f>
        <v>48.970636101378474</v>
      </c>
      <c r="G17" s="114">
        <f>+E17/C17*100</f>
        <v>140.93709177000383</v>
      </c>
      <c r="J17" s="206" t="s">
        <v>115</v>
      </c>
      <c r="N17" s="93">
        <f>E17</f>
        <v>8512741.280000001</v>
      </c>
    </row>
    <row r="18" spans="1:14" ht="13.5">
      <c r="A18" s="266" t="s">
        <v>53</v>
      </c>
      <c r="B18" s="100" t="s">
        <v>27</v>
      </c>
      <c r="C18" s="116">
        <f>C160</f>
        <v>2232500</v>
      </c>
      <c r="D18" s="484">
        <f>+$C18/$C$34*100</f>
        <v>15.500856119053147</v>
      </c>
      <c r="E18" s="116">
        <f>E160</f>
        <v>4922500</v>
      </c>
      <c r="F18" s="490">
        <f>+$E18/$E$34*100</f>
        <v>28.317312635282573</v>
      </c>
      <c r="G18" s="115">
        <f>+E18/C18*100</f>
        <v>220.49272116461367</v>
      </c>
      <c r="J18" s="100" t="s">
        <v>27</v>
      </c>
      <c r="N18" s="93">
        <f aca="true" t="shared" si="0" ref="N18:N31">E18</f>
        <v>4922500</v>
      </c>
    </row>
    <row r="19" spans="1:14" ht="13.5">
      <c r="A19" s="266" t="s">
        <v>56</v>
      </c>
      <c r="B19" s="100" t="s">
        <v>22</v>
      </c>
      <c r="C19" s="116">
        <f>C303</f>
        <v>256000</v>
      </c>
      <c r="D19" s="484">
        <f>+$C19/$C$34*100</f>
        <v>1.7774777901355454</v>
      </c>
      <c r="E19" s="116">
        <f>E303</f>
        <v>259000</v>
      </c>
      <c r="F19" s="490">
        <f>+$E19/$E$34*100</f>
        <v>1.4899307206781482</v>
      </c>
      <c r="G19" s="115">
        <f>+E19/C19*100</f>
        <v>101.171875</v>
      </c>
      <c r="J19" s="100" t="s">
        <v>22</v>
      </c>
      <c r="N19" s="93">
        <f t="shared" si="0"/>
        <v>259000</v>
      </c>
    </row>
    <row r="20" spans="1:14" ht="13.5">
      <c r="A20" s="266" t="s">
        <v>116</v>
      </c>
      <c r="B20" s="100" t="s">
        <v>23</v>
      </c>
      <c r="C20" s="116">
        <f>C214</f>
        <v>3551600</v>
      </c>
      <c r="D20" s="484">
        <f>+$C20/$C$34*100</f>
        <v>24.659727029083605</v>
      </c>
      <c r="E20" s="116">
        <f>E214</f>
        <v>3331241.2800000003</v>
      </c>
      <c r="F20" s="490">
        <f>+$E20/$E$34*100</f>
        <v>19.163392745417752</v>
      </c>
      <c r="G20" s="115">
        <f>+E20/C20*100</f>
        <v>93.79550850320982</v>
      </c>
      <c r="J20" s="100" t="s">
        <v>23</v>
      </c>
      <c r="N20" s="93">
        <f t="shared" si="0"/>
        <v>3331241.2800000003</v>
      </c>
    </row>
    <row r="21" spans="1:14" ht="13.5">
      <c r="A21" s="266" t="s">
        <v>126</v>
      </c>
      <c r="B21" s="100" t="s">
        <v>127</v>
      </c>
      <c r="C21" s="116"/>
      <c r="D21" s="235"/>
      <c r="E21" s="116"/>
      <c r="F21" s="171"/>
      <c r="G21" s="116"/>
      <c r="J21" s="100" t="s">
        <v>127</v>
      </c>
      <c r="N21" s="93">
        <f t="shared" si="0"/>
        <v>0</v>
      </c>
    </row>
    <row r="22" spans="1:14" s="205" customFormat="1" ht="13.5">
      <c r="A22" s="268" t="s">
        <v>1</v>
      </c>
      <c r="B22" s="119" t="s">
        <v>117</v>
      </c>
      <c r="C22" s="115">
        <f>SUM(C23:C25)</f>
        <v>5373213.3100000005</v>
      </c>
      <c r="D22" s="484">
        <f aca="true" t="shared" si="1" ref="D22:D29">+$C22/$C$34*100</f>
        <v>37.30768484447539</v>
      </c>
      <c r="E22" s="115">
        <f>SUM(E23:E25)</f>
        <v>5814500.3155000005</v>
      </c>
      <c r="F22" s="490">
        <f aca="true" t="shared" si="2" ref="F22:F31">+$E22/$E$34*100</f>
        <v>33.4486588627654</v>
      </c>
      <c r="G22" s="115">
        <f aca="true" t="shared" si="3" ref="G22:G31">+E22/C22*100</f>
        <v>108.2127207695017</v>
      </c>
      <c r="J22" s="119" t="s">
        <v>117</v>
      </c>
      <c r="N22" s="93">
        <f t="shared" si="0"/>
        <v>5814500.3155000005</v>
      </c>
    </row>
    <row r="23" spans="1:14" ht="13.5">
      <c r="A23" s="266" t="s">
        <v>62</v>
      </c>
      <c r="B23" s="100" t="s">
        <v>118</v>
      </c>
      <c r="C23" s="116">
        <f>'Rashodi-rekapit.-analitika'!C217</f>
        <v>3584050.37</v>
      </c>
      <c r="D23" s="484">
        <f t="shared" si="1"/>
        <v>24.88503879453939</v>
      </c>
      <c r="E23" s="116">
        <f>'Rashodi-rekapit.-analitika'!E217</f>
        <v>3910374.162900001</v>
      </c>
      <c r="F23" s="490">
        <f t="shared" si="2"/>
        <v>22.494928936875713</v>
      </c>
      <c r="G23" s="115">
        <f t="shared" si="3"/>
        <v>109.10488858168588</v>
      </c>
      <c r="J23" s="100" t="s">
        <v>118</v>
      </c>
      <c r="N23" s="93">
        <f t="shared" si="0"/>
        <v>3910374.162900001</v>
      </c>
    </row>
    <row r="24" spans="1:14" ht="13.5">
      <c r="A24" s="266" t="s">
        <v>63</v>
      </c>
      <c r="B24" s="100" t="s">
        <v>119</v>
      </c>
      <c r="C24" s="116">
        <f>C218+C219+C220+C221</f>
        <v>1096361.1</v>
      </c>
      <c r="D24" s="484">
        <f t="shared" si="1"/>
        <v>7.612334004760063</v>
      </c>
      <c r="E24" s="116">
        <f>E218+E219+E220+E221</f>
        <v>1168268.6864</v>
      </c>
      <c r="F24" s="490">
        <f t="shared" si="2"/>
        <v>6.7206154666936895</v>
      </c>
      <c r="G24" s="115">
        <f t="shared" si="3"/>
        <v>106.5587502511718</v>
      </c>
      <c r="J24" s="100" t="s">
        <v>119</v>
      </c>
      <c r="N24" s="93">
        <f t="shared" si="0"/>
        <v>1168268.6864</v>
      </c>
    </row>
    <row r="25" spans="1:14" ht="13.5">
      <c r="A25" s="266" t="s">
        <v>64</v>
      </c>
      <c r="B25" s="100" t="s">
        <v>120</v>
      </c>
      <c r="C25" s="116">
        <f>SUM(C222:C227)</f>
        <v>692801.8400000001</v>
      </c>
      <c r="D25" s="484">
        <f t="shared" si="1"/>
        <v>4.810312045175937</v>
      </c>
      <c r="E25" s="116">
        <f>SUM(E222:E227)</f>
        <v>735857.4662</v>
      </c>
      <c r="F25" s="490">
        <f t="shared" si="2"/>
        <v>4.233114459195994</v>
      </c>
      <c r="G25" s="115">
        <f t="shared" si="3"/>
        <v>106.21471013991533</v>
      </c>
      <c r="J25" s="100" t="s">
        <v>120</v>
      </c>
      <c r="N25" s="93">
        <f t="shared" si="0"/>
        <v>735857.4662</v>
      </c>
    </row>
    <row r="26" spans="1:14" s="205" customFormat="1" ht="13.5">
      <c r="A26" s="268" t="s">
        <v>2</v>
      </c>
      <c r="B26" s="119" t="s">
        <v>20</v>
      </c>
      <c r="C26" s="115">
        <f>C229</f>
        <v>1085000</v>
      </c>
      <c r="D26" s="484">
        <f t="shared" si="1"/>
        <v>7.5334507902229175</v>
      </c>
      <c r="E26" s="115">
        <f>E229</f>
        <v>1140000</v>
      </c>
      <c r="F26" s="490">
        <f t="shared" si="2"/>
        <v>6.557996222289919</v>
      </c>
      <c r="G26" s="115">
        <f t="shared" si="3"/>
        <v>105.06912442396312</v>
      </c>
      <c r="J26" s="119" t="s">
        <v>20</v>
      </c>
      <c r="N26" s="93">
        <f t="shared" si="0"/>
        <v>1140000</v>
      </c>
    </row>
    <row r="27" spans="1:14" s="205" customFormat="1" ht="13.5">
      <c r="A27" s="268" t="s">
        <v>3</v>
      </c>
      <c r="B27" s="119" t="s">
        <v>25</v>
      </c>
      <c r="C27" s="115">
        <f>C281</f>
        <v>1361117</v>
      </c>
      <c r="D27" s="484">
        <f t="shared" si="1"/>
        <v>9.450606395609075</v>
      </c>
      <c r="E27" s="115">
        <f>E281</f>
        <v>1373117</v>
      </c>
      <c r="F27" s="490">
        <f t="shared" si="2"/>
        <v>7.899031665580761</v>
      </c>
      <c r="G27" s="115">
        <f t="shared" si="3"/>
        <v>100.88162883866707</v>
      </c>
      <c r="J27" s="119" t="s">
        <v>25</v>
      </c>
      <c r="N27" s="93">
        <f t="shared" si="0"/>
        <v>1373117</v>
      </c>
    </row>
    <row r="28" spans="1:14" s="205" customFormat="1" ht="13.5">
      <c r="A28" s="270" t="s">
        <v>4</v>
      </c>
      <c r="B28" s="119" t="s">
        <v>121</v>
      </c>
      <c r="C28" s="115">
        <f>C231</f>
        <v>200000</v>
      </c>
      <c r="D28" s="484">
        <f t="shared" si="1"/>
        <v>1.388654523543395</v>
      </c>
      <c r="E28" s="115">
        <f>E231</f>
        <v>200000</v>
      </c>
      <c r="F28" s="490">
        <f t="shared" si="2"/>
        <v>1.1505256530333192</v>
      </c>
      <c r="G28" s="115">
        <f t="shared" si="3"/>
        <v>100</v>
      </c>
      <c r="J28" s="119" t="s">
        <v>121</v>
      </c>
      <c r="N28" s="93">
        <f t="shared" si="0"/>
        <v>200000</v>
      </c>
    </row>
    <row r="29" spans="1:14" s="205" customFormat="1" ht="13.5">
      <c r="A29" s="268" t="s">
        <v>5</v>
      </c>
      <c r="B29" s="119" t="s">
        <v>122</v>
      </c>
      <c r="C29" s="115">
        <f>C298</f>
        <v>102000</v>
      </c>
      <c r="D29" s="484">
        <f t="shared" si="1"/>
        <v>0.7082138070071314</v>
      </c>
      <c r="E29" s="115">
        <f>E298</f>
        <v>102000</v>
      </c>
      <c r="F29" s="490">
        <f t="shared" si="2"/>
        <v>0.5867680830469928</v>
      </c>
      <c r="G29" s="115">
        <f t="shared" si="3"/>
        <v>100</v>
      </c>
      <c r="J29" s="119" t="s">
        <v>122</v>
      </c>
      <c r="N29" s="93">
        <f t="shared" si="0"/>
        <v>102000</v>
      </c>
    </row>
    <row r="30" spans="1:14" ht="13.5">
      <c r="A30" s="271" t="s">
        <v>123</v>
      </c>
      <c r="B30" s="100" t="s">
        <v>124</v>
      </c>
      <c r="C30" s="146"/>
      <c r="D30" s="146"/>
      <c r="E30" s="146"/>
      <c r="F30" s="490"/>
      <c r="G30" s="115"/>
      <c r="J30" s="100" t="s">
        <v>124</v>
      </c>
      <c r="N30" s="93">
        <f t="shared" si="0"/>
        <v>0</v>
      </c>
    </row>
    <row r="31" spans="1:14" s="205" customFormat="1" ht="13.5">
      <c r="A31" s="268" t="s">
        <v>0</v>
      </c>
      <c r="B31" s="119" t="s">
        <v>125</v>
      </c>
      <c r="C31" s="115">
        <f>C290</f>
        <v>241000</v>
      </c>
      <c r="D31" s="484">
        <f>+$C31/$C$34*100</f>
        <v>1.673328700869791</v>
      </c>
      <c r="E31" s="115">
        <f>E290</f>
        <v>241000</v>
      </c>
      <c r="F31" s="490">
        <f t="shared" si="2"/>
        <v>1.3863834119051497</v>
      </c>
      <c r="G31" s="115">
        <f t="shared" si="3"/>
        <v>100</v>
      </c>
      <c r="J31" s="119" t="s">
        <v>125</v>
      </c>
      <c r="N31" s="93">
        <f t="shared" si="0"/>
        <v>241000</v>
      </c>
    </row>
    <row r="32" spans="1:7" ht="13.5">
      <c r="A32" s="211"/>
      <c r="B32" s="100"/>
      <c r="C32" s="116"/>
      <c r="D32" s="235"/>
      <c r="E32" s="115"/>
      <c r="F32" s="269"/>
      <c r="G32" s="115"/>
    </row>
    <row r="33" spans="1:7" ht="14.25" thickBot="1">
      <c r="A33" s="211"/>
      <c r="B33" s="100"/>
      <c r="C33" s="116"/>
      <c r="D33" s="235"/>
      <c r="E33" s="141"/>
      <c r="F33" s="269"/>
      <c r="G33" s="141"/>
    </row>
    <row r="34" spans="1:7" ht="14.25" thickBot="1">
      <c r="A34" s="212"/>
      <c r="B34" s="272" t="s">
        <v>12</v>
      </c>
      <c r="C34" s="299">
        <f>+SUM(C17,C22,C26,C28,C29:C31,C27)</f>
        <v>14402430.31</v>
      </c>
      <c r="D34" s="485">
        <f>+SUM(D17,D22,D26,D28,D29,D31,D27)</f>
        <v>99.99999999999999</v>
      </c>
      <c r="E34" s="168">
        <f>+SUM(E17,E22,E26,E28,E29,E30,E27,E31)</f>
        <v>17383358.5955</v>
      </c>
      <c r="F34" s="381">
        <f>+SUM(F17,F22,F26,F28,F29,F31,F27)</f>
        <v>100</v>
      </c>
      <c r="G34" s="380">
        <f>+E34/C34*100</f>
        <v>120.69739774009017</v>
      </c>
    </row>
    <row r="35" spans="1:7" ht="13.5">
      <c r="A35" s="100"/>
      <c r="B35" s="117"/>
      <c r="C35" s="99"/>
      <c r="D35" s="171"/>
      <c r="E35" s="97"/>
      <c r="F35" s="269"/>
      <c r="G35" s="97"/>
    </row>
    <row r="36" spans="1:7" ht="13.5">
      <c r="A36" s="100"/>
      <c r="B36" s="117"/>
      <c r="C36" s="99"/>
      <c r="D36" s="171"/>
      <c r="E36" s="97"/>
      <c r="F36" s="269"/>
      <c r="G36" s="97"/>
    </row>
    <row r="37" spans="1:7" ht="12.75">
      <c r="A37" s="54"/>
      <c r="B37" s="56" t="s">
        <v>408</v>
      </c>
      <c r="C37" s="125"/>
      <c r="D37" s="125"/>
      <c r="E37" s="59"/>
      <c r="F37" s="55"/>
      <c r="G37" s="55"/>
    </row>
    <row r="44" spans="1:8" ht="16.5">
      <c r="A44" s="34"/>
      <c r="B44" s="62"/>
      <c r="C44" s="60"/>
      <c r="D44" s="60"/>
      <c r="E44" s="60"/>
      <c r="F44" s="60"/>
      <c r="G44" s="60"/>
      <c r="H44" s="34"/>
    </row>
    <row r="45" spans="1:8" ht="15">
      <c r="A45" s="34"/>
      <c r="B45" s="34"/>
      <c r="C45" s="34"/>
      <c r="D45" s="34"/>
      <c r="E45" s="63"/>
      <c r="F45" s="34"/>
      <c r="G45" s="64"/>
      <c r="H45" s="34"/>
    </row>
    <row r="46" spans="1:8" ht="15">
      <c r="A46" s="63"/>
      <c r="B46" s="63"/>
      <c r="C46" s="63"/>
      <c r="D46" s="63"/>
      <c r="E46" s="65"/>
      <c r="F46" s="65"/>
      <c r="G46" s="60"/>
      <c r="H46" s="34"/>
    </row>
    <row r="47" spans="1:8" ht="15">
      <c r="A47" s="63"/>
      <c r="B47" s="63"/>
      <c r="C47" s="63"/>
      <c r="D47" s="63"/>
      <c r="E47" s="65"/>
      <c r="F47" s="65"/>
      <c r="G47" s="60"/>
      <c r="H47" s="34"/>
    </row>
    <row r="48" spans="1:8" ht="15">
      <c r="A48" s="63"/>
      <c r="B48" s="63"/>
      <c r="C48" s="63"/>
      <c r="D48" s="63"/>
      <c r="E48" s="65"/>
      <c r="F48" s="65"/>
      <c r="G48" s="60"/>
      <c r="H48" s="34"/>
    </row>
    <row r="49" ht="13.5">
      <c r="H49" s="34"/>
    </row>
    <row r="50" ht="13.5">
      <c r="H50" s="34"/>
    </row>
    <row r="51" ht="13.5">
      <c r="H51" s="34"/>
    </row>
    <row r="52" ht="13.5">
      <c r="H52" s="34"/>
    </row>
    <row r="53" ht="13.5">
      <c r="H53" s="34"/>
    </row>
    <row r="54" ht="13.5">
      <c r="H54" s="34"/>
    </row>
    <row r="55" ht="13.5">
      <c r="H55" s="34"/>
    </row>
    <row r="56" ht="13.5">
      <c r="H56" s="34"/>
    </row>
    <row r="57" ht="13.5">
      <c r="H57" s="34"/>
    </row>
    <row r="58" ht="13.5">
      <c r="H58" s="34"/>
    </row>
    <row r="59" ht="13.5">
      <c r="H59" s="34"/>
    </row>
    <row r="60" ht="13.5">
      <c r="H60" s="34"/>
    </row>
    <row r="61" spans="1:8" ht="13.5">
      <c r="A61" s="34"/>
      <c r="B61" s="35" t="s">
        <v>166</v>
      </c>
      <c r="C61" s="34"/>
      <c r="D61" s="34"/>
      <c r="E61" s="34"/>
      <c r="G61" s="50" t="s">
        <v>179</v>
      </c>
      <c r="H61" s="34"/>
    </row>
    <row r="62" spans="1:8" ht="13.5">
      <c r="A62" s="34"/>
      <c r="B62" s="37" t="s">
        <v>33</v>
      </c>
      <c r="C62" s="34" t="s">
        <v>218</v>
      </c>
      <c r="D62" s="34"/>
      <c r="E62" s="34"/>
      <c r="F62" s="45"/>
      <c r="H62" s="34"/>
    </row>
    <row r="63" spans="1:8" ht="13.5">
      <c r="A63" s="162"/>
      <c r="B63" s="37" t="s">
        <v>34</v>
      </c>
      <c r="C63" s="34" t="s">
        <v>219</v>
      </c>
      <c r="D63" s="34"/>
      <c r="E63" s="34"/>
      <c r="F63" s="45"/>
      <c r="H63" s="34"/>
    </row>
    <row r="64" spans="1:8" ht="18">
      <c r="A64" s="34"/>
      <c r="B64" s="38" t="s">
        <v>35</v>
      </c>
      <c r="C64" s="34" t="s">
        <v>220</v>
      </c>
      <c r="D64" s="34"/>
      <c r="E64" s="34"/>
      <c r="F64" s="51"/>
      <c r="H64" s="34"/>
    </row>
    <row r="65" spans="1:8" ht="13.5">
      <c r="A65" s="34"/>
      <c r="B65" s="34"/>
      <c r="C65" s="34" t="s">
        <v>378</v>
      </c>
      <c r="D65" s="34"/>
      <c r="E65" s="34"/>
      <c r="F65" s="48"/>
      <c r="H65" s="34"/>
    </row>
    <row r="66" spans="2:8" ht="13.5">
      <c r="B66" s="123" t="s">
        <v>78</v>
      </c>
      <c r="C66" s="45"/>
      <c r="D66" s="45"/>
      <c r="E66" s="45"/>
      <c r="F66" s="48"/>
      <c r="H66" s="34"/>
    </row>
    <row r="67" ht="13.5">
      <c r="H67" s="34"/>
    </row>
    <row r="68" spans="2:8" ht="13.5">
      <c r="B68" s="35" t="s">
        <v>36</v>
      </c>
      <c r="H68" s="34"/>
    </row>
    <row r="69" spans="1:8" ht="13.5">
      <c r="A69" s="104" t="s">
        <v>0</v>
      </c>
      <c r="B69" s="69" t="s">
        <v>37</v>
      </c>
      <c r="C69" s="16"/>
      <c r="D69" s="16"/>
      <c r="E69" s="16"/>
      <c r="F69" s="16"/>
      <c r="G69" s="16"/>
      <c r="H69" s="34"/>
    </row>
    <row r="70" spans="1:7" ht="13.5">
      <c r="A70" s="127"/>
      <c r="B70" s="64" t="s">
        <v>424</v>
      </c>
      <c r="C70" s="64"/>
      <c r="D70" s="64"/>
      <c r="E70" s="64"/>
      <c r="F70" s="64"/>
      <c r="G70" s="64"/>
    </row>
    <row r="71" spans="1:7" ht="13.5">
      <c r="A71" s="64"/>
      <c r="B71" s="64" t="s">
        <v>425</v>
      </c>
      <c r="C71" s="64"/>
      <c r="D71" s="64"/>
      <c r="E71" s="64"/>
      <c r="F71" s="64"/>
      <c r="G71" s="64"/>
    </row>
    <row r="72" spans="1:7" ht="13.5">
      <c r="A72" s="64"/>
      <c r="B72" s="64" t="s">
        <v>417</v>
      </c>
      <c r="C72" s="64"/>
      <c r="D72" s="64"/>
      <c r="E72" s="64"/>
      <c r="F72" s="64"/>
      <c r="G72" s="64"/>
    </row>
    <row r="73" spans="1:7" ht="13.5">
      <c r="A73" s="64"/>
      <c r="B73" s="64"/>
      <c r="C73" s="64"/>
      <c r="D73" s="64"/>
      <c r="E73" s="64"/>
      <c r="F73" s="64"/>
      <c r="G73" s="64"/>
    </row>
    <row r="74" spans="1:8" ht="15">
      <c r="A74" s="61" t="s">
        <v>1</v>
      </c>
      <c r="B74" s="35" t="s">
        <v>23</v>
      </c>
      <c r="H74" s="17"/>
    </row>
    <row r="75" spans="1:8" ht="15">
      <c r="A75" s="16"/>
      <c r="B75" s="64" t="s">
        <v>38</v>
      </c>
      <c r="C75" s="64"/>
      <c r="D75" s="64"/>
      <c r="E75" s="64"/>
      <c r="F75" s="64"/>
      <c r="G75" s="64"/>
      <c r="H75" s="17"/>
    </row>
    <row r="76" spans="1:8" ht="15">
      <c r="A76" s="64"/>
      <c r="B76" s="64" t="s">
        <v>188</v>
      </c>
      <c r="C76" s="64"/>
      <c r="D76" s="64"/>
      <c r="E76" s="64"/>
      <c r="F76" s="64"/>
      <c r="G76" s="64"/>
      <c r="H76" s="17"/>
    </row>
    <row r="77" spans="1:8" ht="14.25">
      <c r="A77" s="64"/>
      <c r="B77" s="64" t="s">
        <v>217</v>
      </c>
      <c r="C77" s="64"/>
      <c r="D77" s="64"/>
      <c r="E77" s="64"/>
      <c r="F77" s="64"/>
      <c r="G77" s="64"/>
      <c r="H77" s="17"/>
    </row>
    <row r="78" spans="1:8" ht="14.25">
      <c r="A78" s="32"/>
      <c r="B78" s="64" t="s">
        <v>373</v>
      </c>
      <c r="C78" s="16"/>
      <c r="D78" s="16"/>
      <c r="E78" s="16"/>
      <c r="F78" s="16"/>
      <c r="G78" s="16"/>
      <c r="H78" s="17"/>
    </row>
    <row r="79" spans="1:8" ht="15">
      <c r="A79" s="32"/>
      <c r="B79" s="356"/>
      <c r="C79" s="16"/>
      <c r="D79" s="16"/>
      <c r="E79" s="16"/>
      <c r="F79" s="16"/>
      <c r="G79" s="16"/>
      <c r="H79" s="17"/>
    </row>
    <row r="80" spans="1:8" ht="15">
      <c r="A80" s="69" t="s">
        <v>2</v>
      </c>
      <c r="B80" s="69" t="s">
        <v>24</v>
      </c>
      <c r="C80" s="64"/>
      <c r="D80" s="64"/>
      <c r="E80" s="64"/>
      <c r="F80" s="64"/>
      <c r="G80" s="64"/>
      <c r="H80" s="17"/>
    </row>
    <row r="81" spans="1:8" ht="15">
      <c r="A81" s="64"/>
      <c r="B81" s="64" t="s">
        <v>136</v>
      </c>
      <c r="C81" s="64"/>
      <c r="D81" s="64"/>
      <c r="E81" s="64"/>
      <c r="F81" s="64"/>
      <c r="G81" s="64"/>
      <c r="H81" s="17"/>
    </row>
    <row r="82" spans="1:7" ht="15">
      <c r="A82" s="32"/>
      <c r="B82" s="64" t="s">
        <v>137</v>
      </c>
      <c r="C82" s="64"/>
      <c r="D82" s="64"/>
      <c r="E82" s="64"/>
      <c r="F82" s="64"/>
      <c r="G82" s="64"/>
    </row>
    <row r="83" spans="1:7" ht="15">
      <c r="A83" s="32"/>
      <c r="B83" s="64" t="s">
        <v>409</v>
      </c>
      <c r="C83" s="64"/>
      <c r="D83" s="64"/>
      <c r="E83" s="64"/>
      <c r="F83" s="64"/>
      <c r="G83" s="64"/>
    </row>
    <row r="84" spans="1:7" ht="15">
      <c r="A84" s="32"/>
      <c r="B84" s="64" t="s">
        <v>410</v>
      </c>
      <c r="C84" s="64"/>
      <c r="D84" s="64"/>
      <c r="E84" s="64"/>
      <c r="F84" s="64"/>
      <c r="G84" s="64"/>
    </row>
    <row r="85" spans="1:7" ht="15">
      <c r="A85" s="32"/>
      <c r="B85" s="64" t="s">
        <v>211</v>
      </c>
      <c r="C85" s="64"/>
      <c r="D85" s="64"/>
      <c r="E85" s="64"/>
      <c r="F85" s="64"/>
      <c r="G85" s="64"/>
    </row>
    <row r="86" spans="1:7" ht="15">
      <c r="A86" s="32"/>
      <c r="B86" s="64"/>
      <c r="C86" s="64"/>
      <c r="D86" s="64"/>
      <c r="E86" s="64"/>
      <c r="F86" s="64"/>
      <c r="G86" s="64"/>
    </row>
    <row r="87" spans="1:7" ht="13.5">
      <c r="A87" s="69" t="s">
        <v>3</v>
      </c>
      <c r="B87" s="69" t="s">
        <v>20</v>
      </c>
      <c r="C87" s="16"/>
      <c r="D87" s="16"/>
      <c r="E87" s="16"/>
      <c r="F87" s="16"/>
      <c r="G87" s="16"/>
    </row>
    <row r="88" spans="1:7" ht="13.5">
      <c r="A88" s="64"/>
      <c r="B88" s="64" t="s">
        <v>411</v>
      </c>
      <c r="C88" s="64"/>
      <c r="D88" s="64"/>
      <c r="E88" s="64"/>
      <c r="F88" s="64"/>
      <c r="G88" s="64"/>
    </row>
    <row r="89" spans="1:7" ht="13.5">
      <c r="A89" s="64"/>
      <c r="B89" s="64" t="s">
        <v>412</v>
      </c>
      <c r="C89" s="64"/>
      <c r="D89" s="64"/>
      <c r="E89" s="64"/>
      <c r="F89" s="64"/>
      <c r="G89" s="64"/>
    </row>
    <row r="90" spans="2:8" ht="13.5">
      <c r="B90" s="64" t="s">
        <v>413</v>
      </c>
      <c r="C90" s="64"/>
      <c r="D90" s="64"/>
      <c r="E90" s="64"/>
      <c r="F90" s="64"/>
      <c r="G90" s="64"/>
      <c r="H90" s="16"/>
    </row>
    <row r="91" spans="2:8" ht="13.5">
      <c r="B91" s="64"/>
      <c r="C91" s="64"/>
      <c r="D91" s="64"/>
      <c r="E91" s="64"/>
      <c r="F91" s="64"/>
      <c r="G91" s="64"/>
      <c r="H91" s="16"/>
    </row>
    <row r="92" spans="1:7" ht="13.5">
      <c r="A92" s="104" t="s">
        <v>4</v>
      </c>
      <c r="B92" s="69" t="s">
        <v>25</v>
      </c>
      <c r="C92" s="64"/>
      <c r="D92" s="64"/>
      <c r="E92" s="64"/>
      <c r="F92" s="64"/>
      <c r="G92" s="64"/>
    </row>
    <row r="93" spans="1:7" ht="13.5">
      <c r="A93" s="16"/>
      <c r="B93" s="64" t="s">
        <v>42</v>
      </c>
      <c r="C93" s="64"/>
      <c r="D93" s="64"/>
      <c r="E93" s="64"/>
      <c r="F93" s="64"/>
      <c r="G93" s="64"/>
    </row>
    <row r="94" spans="1:7" ht="13.5">
      <c r="A94" s="64"/>
      <c r="B94" s="64" t="s">
        <v>356</v>
      </c>
      <c r="C94" s="64"/>
      <c r="D94" s="64"/>
      <c r="E94" s="64"/>
      <c r="F94" s="64"/>
      <c r="G94" s="64"/>
    </row>
    <row r="95" spans="1:7" ht="13.5">
      <c r="A95" s="64"/>
      <c r="B95" s="64" t="s">
        <v>357</v>
      </c>
      <c r="C95" s="64"/>
      <c r="D95" s="64"/>
      <c r="E95" s="64"/>
      <c r="F95" s="64"/>
      <c r="G95" s="64"/>
    </row>
    <row r="96" spans="1:7" ht="13.5">
      <c r="A96" s="64"/>
      <c r="B96" s="64" t="s">
        <v>133</v>
      </c>
      <c r="C96" s="64"/>
      <c r="D96" s="64"/>
      <c r="E96" s="64"/>
      <c r="F96" s="64"/>
      <c r="G96" s="64"/>
    </row>
    <row r="97" spans="1:7" ht="13.5">
      <c r="A97" s="16"/>
      <c r="B97" s="64" t="s">
        <v>41</v>
      </c>
      <c r="C97" s="16"/>
      <c r="D97" s="16"/>
      <c r="E97" s="16"/>
      <c r="F97" s="16"/>
      <c r="G97" s="16"/>
    </row>
    <row r="99" spans="1:7" ht="13.5">
      <c r="A99" s="104" t="s">
        <v>5</v>
      </c>
      <c r="B99" s="69" t="s">
        <v>26</v>
      </c>
      <c r="C99" s="64"/>
      <c r="D99" s="64"/>
      <c r="E99" s="64"/>
      <c r="F99" s="64"/>
      <c r="G99" s="64"/>
    </row>
    <row r="100" spans="1:7" ht="13.5">
      <c r="A100" s="16"/>
      <c r="B100" s="64" t="s">
        <v>342</v>
      </c>
      <c r="C100" s="64"/>
      <c r="D100" s="64"/>
      <c r="E100" s="64"/>
      <c r="F100" s="64"/>
      <c r="G100" s="64"/>
    </row>
    <row r="101" spans="1:7" ht="13.5">
      <c r="A101" s="16"/>
      <c r="B101" s="64" t="s">
        <v>414</v>
      </c>
      <c r="C101" s="64"/>
      <c r="D101" s="64"/>
      <c r="E101" s="64"/>
      <c r="F101" s="64"/>
      <c r="G101" s="64"/>
    </row>
    <row r="102" spans="1:7" ht="13.5">
      <c r="A102" s="127"/>
      <c r="B102" s="64"/>
      <c r="C102" s="64"/>
      <c r="D102" s="64"/>
      <c r="E102" s="64"/>
      <c r="F102" s="64"/>
      <c r="G102" s="64"/>
    </row>
    <row r="103" spans="1:7" ht="13.5">
      <c r="A103" s="104" t="s">
        <v>6</v>
      </c>
      <c r="B103" s="69" t="s">
        <v>22</v>
      </c>
      <c r="C103" s="64"/>
      <c r="D103" s="64"/>
      <c r="E103" s="64"/>
      <c r="F103" s="64"/>
      <c r="G103" s="64"/>
    </row>
    <row r="104" spans="1:7" ht="13.5">
      <c r="A104" s="16"/>
      <c r="B104" s="64" t="s">
        <v>39</v>
      </c>
      <c r="C104" s="16"/>
      <c r="D104" s="16"/>
      <c r="E104" s="16"/>
      <c r="F104" s="16"/>
      <c r="G104" s="15"/>
    </row>
    <row r="105" spans="1:7" ht="15.75">
      <c r="A105" s="16"/>
      <c r="B105" s="64" t="s">
        <v>138</v>
      </c>
      <c r="C105" s="128"/>
      <c r="D105" s="129"/>
      <c r="E105" s="16"/>
      <c r="F105" s="16"/>
      <c r="G105" s="15"/>
    </row>
    <row r="106" ht="13.5">
      <c r="B106" s="64" t="s">
        <v>212</v>
      </c>
    </row>
    <row r="107" ht="13.5">
      <c r="B107" s="64"/>
    </row>
    <row r="108" ht="13.5">
      <c r="B108" s="34"/>
    </row>
    <row r="122" spans="1:7" ht="13.5">
      <c r="A122" s="34"/>
      <c r="B122" s="35" t="s">
        <v>166</v>
      </c>
      <c r="C122" s="34"/>
      <c r="D122" s="34"/>
      <c r="E122" s="34"/>
      <c r="G122" s="304" t="s">
        <v>343</v>
      </c>
    </row>
    <row r="123" spans="1:7" ht="13.5">
      <c r="A123" s="34"/>
      <c r="B123" s="37" t="s">
        <v>33</v>
      </c>
      <c r="C123" s="34" t="s">
        <v>218</v>
      </c>
      <c r="D123" s="34"/>
      <c r="E123" s="34"/>
      <c r="F123" s="45"/>
      <c r="G123" s="161"/>
    </row>
    <row r="124" spans="1:7" ht="13.5">
      <c r="A124" s="162"/>
      <c r="B124" s="37" t="s">
        <v>34</v>
      </c>
      <c r="C124" s="34" t="s">
        <v>219</v>
      </c>
      <c r="D124" s="34"/>
      <c r="E124" s="34"/>
      <c r="F124" s="45"/>
      <c r="G124" s="161"/>
    </row>
    <row r="125" spans="1:7" ht="18">
      <c r="A125" s="34"/>
      <c r="B125" s="38" t="s">
        <v>35</v>
      </c>
      <c r="C125" s="34" t="s">
        <v>220</v>
      </c>
      <c r="D125" s="34"/>
      <c r="E125" s="34"/>
      <c r="F125" s="51"/>
      <c r="G125" s="161"/>
    </row>
    <row r="126" spans="1:7" ht="13.5">
      <c r="A126" s="34"/>
      <c r="B126" s="34"/>
      <c r="C126" s="34" t="s">
        <v>378</v>
      </c>
      <c r="D126" s="34"/>
      <c r="E126" s="34"/>
      <c r="F126" s="48"/>
      <c r="G126" s="161"/>
    </row>
    <row r="127" spans="1:7" ht="12.75">
      <c r="A127" s="149"/>
      <c r="B127" s="124" t="s">
        <v>79</v>
      </c>
      <c r="C127" s="45"/>
      <c r="D127" s="45"/>
      <c r="E127" s="45"/>
      <c r="F127" s="48"/>
      <c r="G127" s="306"/>
    </row>
    <row r="128" spans="1:7" ht="12.75">
      <c r="A128" s="303"/>
      <c r="B128" s="307" t="s">
        <v>374</v>
      </c>
      <c r="C128" s="79"/>
      <c r="D128" s="79"/>
      <c r="E128" s="79"/>
      <c r="F128" s="306"/>
      <c r="G128" s="306"/>
    </row>
    <row r="129" spans="1:7" ht="12.75">
      <c r="A129" s="161"/>
      <c r="B129" s="79"/>
      <c r="C129" s="79"/>
      <c r="D129" s="79"/>
      <c r="E129" s="79"/>
      <c r="F129" s="303"/>
      <c r="G129" s="161"/>
    </row>
    <row r="130" spans="1:7" ht="12.75">
      <c r="A130" s="303"/>
      <c r="B130" s="302" t="s">
        <v>151</v>
      </c>
      <c r="C130" s="79"/>
      <c r="D130" s="79"/>
      <c r="E130" s="79"/>
      <c r="F130" s="303"/>
      <c r="G130" s="161"/>
    </row>
    <row r="131" spans="1:7" ht="12.75">
      <c r="A131" s="303"/>
      <c r="B131" s="79"/>
      <c r="C131" s="79"/>
      <c r="D131" s="79"/>
      <c r="E131" s="79"/>
      <c r="F131" s="303"/>
      <c r="G131" s="161"/>
    </row>
    <row r="132" spans="1:7" ht="12.75">
      <c r="A132" s="161"/>
      <c r="B132" s="456" t="s">
        <v>325</v>
      </c>
      <c r="C132" s="79"/>
      <c r="D132" s="79"/>
      <c r="E132" s="79"/>
      <c r="F132" s="161"/>
      <c r="G132" s="161"/>
    </row>
    <row r="133" spans="1:7" ht="12.75">
      <c r="A133" s="161"/>
      <c r="B133" s="161"/>
      <c r="C133" s="161"/>
      <c r="D133" s="161"/>
      <c r="E133" s="161"/>
      <c r="F133" s="161"/>
      <c r="G133" s="161"/>
    </row>
    <row r="134" spans="1:7" ht="12.75">
      <c r="A134" s="122">
        <v>1</v>
      </c>
      <c r="B134" s="122">
        <v>2</v>
      </c>
      <c r="C134" s="122">
        <v>3</v>
      </c>
      <c r="D134" s="122">
        <v>4</v>
      </c>
      <c r="E134" s="122">
        <v>5</v>
      </c>
      <c r="F134" s="122">
        <v>6</v>
      </c>
      <c r="G134" s="122">
        <v>7</v>
      </c>
    </row>
    <row r="135" spans="1:7" ht="13.5" thickBot="1">
      <c r="A135" s="161"/>
      <c r="B135" s="161"/>
      <c r="C135" s="161"/>
      <c r="D135" s="122"/>
      <c r="E135" s="161"/>
      <c r="F135" s="161"/>
      <c r="G135" s="161"/>
    </row>
    <row r="136" spans="1:7" ht="13.5">
      <c r="A136" s="302"/>
      <c r="B136" s="309" t="s">
        <v>7</v>
      </c>
      <c r="C136" s="310" t="s">
        <v>365</v>
      </c>
      <c r="D136" s="494" t="s">
        <v>28</v>
      </c>
      <c r="E136" s="310" t="s">
        <v>380</v>
      </c>
      <c r="F136" s="494" t="s">
        <v>28</v>
      </c>
      <c r="G136" s="495" t="s">
        <v>13</v>
      </c>
    </row>
    <row r="137" spans="1:7" ht="13.5" thickBot="1">
      <c r="A137" s="161"/>
      <c r="B137" s="161"/>
      <c r="C137" s="204" t="s">
        <v>16</v>
      </c>
      <c r="D137" s="496" t="s">
        <v>15</v>
      </c>
      <c r="E137" s="204" t="s">
        <v>16</v>
      </c>
      <c r="F137" s="496" t="s">
        <v>15</v>
      </c>
      <c r="G137" s="497" t="s">
        <v>40</v>
      </c>
    </row>
    <row r="138" spans="1:7" ht="13.5" thickBot="1">
      <c r="A138" s="79"/>
      <c r="B138" s="79"/>
      <c r="C138" s="569"/>
      <c r="D138" s="79"/>
      <c r="E138" s="175"/>
      <c r="F138" s="79"/>
      <c r="G138" s="148"/>
    </row>
    <row r="139" spans="1:7" ht="13.5" thickBot="1">
      <c r="A139" s="79" t="s">
        <v>222</v>
      </c>
      <c r="B139" s="79"/>
      <c r="C139" s="433">
        <f>'PJ-čistoća-rashod-ok'!C17+'PJ-PiJP-rashod-ok'!C16+'PJ-GiPU-rashod-ok'!C16+'PJ PARKING RASHOD'!C16+'PJ-ZS-rashod-ok'!C16</f>
        <v>190000</v>
      </c>
      <c r="D139" s="567">
        <f aca="true" t="shared" si="4" ref="D139:D160">$C139/$C$305*100</f>
        <v>1.3192217973662252</v>
      </c>
      <c r="E139" s="501">
        <f>'PJ-čistoća-rashod-ok'!E17+'PJ-PiJP-rashod-ok'!E16+'PJ-GiPU-rashod-ok'!E16+'PJ PARKING RASHOD'!E16+'PJ-ZS-rashod-ok'!E16</f>
        <v>180000</v>
      </c>
      <c r="F139" s="498">
        <f aca="true" t="shared" si="5" ref="F139:F160">$E139/$E$305*100</f>
        <v>1.0354730877299874</v>
      </c>
      <c r="G139" s="386">
        <f>E139/C139*100</f>
        <v>94.73684210526315</v>
      </c>
    </row>
    <row r="140" spans="1:7" ht="12.75">
      <c r="A140" s="79" t="s">
        <v>388</v>
      </c>
      <c r="B140" s="79"/>
      <c r="C140" s="319"/>
      <c r="D140" s="568"/>
      <c r="E140" s="501">
        <f>'PJ-čistoća-rashod-ok'!E18+'PJ-PiJP-rashod-ok'!E17+'PJ-GiPU-rashod-ok'!E17+'PJ PARKING RASHOD'!E17+'PJ-ZS-rashod-ok'!E17</f>
        <v>2820000</v>
      </c>
      <c r="F140" s="498">
        <f t="shared" si="5"/>
        <v>16.2224117077698</v>
      </c>
      <c r="G140" s="386" t="e">
        <f>E140/C140*100</f>
        <v>#DIV/0!</v>
      </c>
    </row>
    <row r="141" spans="1:7" ht="12.75">
      <c r="A141" s="79" t="s">
        <v>223</v>
      </c>
      <c r="B141" s="79"/>
      <c r="C141" s="319">
        <f>'PJ-čistoća-rashod-ok'!C19+'PJ-PiJP-rashod-ok'!C18+'PJ-GiPU-rashod-ok'!C18+'PJ PARKING RASHOD'!C18+'PJ-ZS-rashod-ok'!C18</f>
        <v>477000</v>
      </c>
      <c r="D141" s="568">
        <f t="shared" si="4"/>
        <v>3.311941038650997</v>
      </c>
      <c r="E141" s="329">
        <f>'PJ-čistoća-rashod-ok'!E19+'PJ-PiJP-rashod-ok'!E18+'PJ-GiPU-rashod-ok'!E18+'PJ PARKING RASHOD'!E18+'PJ-ZS-rashod-ok'!E18</f>
        <v>362000</v>
      </c>
      <c r="F141" s="499">
        <f t="shared" si="5"/>
        <v>2.082451431990308</v>
      </c>
      <c r="G141" s="387">
        <f aca="true" t="shared" si="6" ref="G141:G160">E141/C141*100</f>
        <v>75.8909853249476</v>
      </c>
    </row>
    <row r="142" spans="1:7" ht="12.75">
      <c r="A142" s="79" t="s">
        <v>224</v>
      </c>
      <c r="B142" s="79"/>
      <c r="C142" s="319">
        <f>'PJ-čistoća-rashod-ok'!C20+'PJ-PiJP-rashod-ok'!C19+'PJ-GiPU-rashod-ok'!C19+'PJ PARKING RASHOD'!C19+'PJ-ZS-rashod-ok'!C19</f>
        <v>24500</v>
      </c>
      <c r="D142" s="568">
        <f t="shared" si="4"/>
        <v>0.17011017913406587</v>
      </c>
      <c r="E142" s="329">
        <f>'PJ-čistoća-rashod-ok'!E20+'PJ-PiJP-rashod-ok'!E19+'PJ-GiPU-rashod-ok'!E19+'PJ PARKING RASHOD'!E19+'PJ-ZS-rashod-ok'!E19</f>
        <v>24500</v>
      </c>
      <c r="F142" s="499">
        <f t="shared" si="5"/>
        <v>0.1409393924965816</v>
      </c>
      <c r="G142" s="387">
        <f t="shared" si="6"/>
        <v>100</v>
      </c>
    </row>
    <row r="143" spans="1:7" ht="12.75">
      <c r="A143" s="79" t="s">
        <v>240</v>
      </c>
      <c r="B143" s="79"/>
      <c r="C143" s="319">
        <f>'PJ-čistoća-rashod-ok'!C21+'PJ-PiJP-rashod-ok'!C20+'PJ-GiPU-rashod-ok'!C20+'PJ PARKING RASHOD'!C20+'PJ-ZS-rashod-ok'!C20</f>
        <v>0</v>
      </c>
      <c r="D143" s="568">
        <f t="shared" si="4"/>
        <v>0</v>
      </c>
      <c r="E143" s="329">
        <f>'PJ-čistoća-rashod-ok'!E21+'PJ-PiJP-rashod-ok'!E20+'PJ-GiPU-rashod-ok'!E20+'PJ PARKING RASHOD'!E20+'PJ-ZS-rashod-ok'!E20</f>
        <v>0</v>
      </c>
      <c r="F143" s="499">
        <f t="shared" si="5"/>
        <v>0</v>
      </c>
      <c r="G143" s="387" t="e">
        <f t="shared" si="6"/>
        <v>#DIV/0!</v>
      </c>
    </row>
    <row r="144" spans="1:7" ht="12.75">
      <c r="A144" s="79" t="s">
        <v>225</v>
      </c>
      <c r="B144" s="79"/>
      <c r="C144" s="319">
        <f>'PJ-čistoća-rashod-ok'!C22+'PJ-PiJP-rashod-ok'!C21+'PJ-GiPU-rashod-ok'!C21+'PJ PARKING RASHOD'!C21+'PJ-ZS-rashod-ok'!C21</f>
        <v>28000</v>
      </c>
      <c r="D144" s="568">
        <f t="shared" si="4"/>
        <v>0.19441163329607528</v>
      </c>
      <c r="E144" s="329">
        <f>'PJ-čistoća-rashod-ok'!E22+'PJ-PiJP-rashod-ok'!E21+'PJ-GiPU-rashod-ok'!E21+'PJ PARKING RASHOD'!E21+'PJ-ZS-rashod-ok'!E21</f>
        <v>28000</v>
      </c>
      <c r="F144" s="499">
        <f t="shared" si="5"/>
        <v>0.1610735914246647</v>
      </c>
      <c r="G144" s="387">
        <f t="shared" si="6"/>
        <v>100</v>
      </c>
    </row>
    <row r="145" spans="1:7" ht="12.75">
      <c r="A145" s="79" t="s">
        <v>226</v>
      </c>
      <c r="B145" s="79"/>
      <c r="C145" s="319">
        <f>'PJ-čistoća-rashod-ok'!C23+'PJ-PiJP-rashod-ok'!C22+'PJ-GiPU-rashod-ok'!C22+'PJ PARKING RASHOD'!C22+'PJ-ZS-rashod-ok'!C22</f>
        <v>44000</v>
      </c>
      <c r="D145" s="568">
        <f t="shared" si="4"/>
        <v>0.30550399517954685</v>
      </c>
      <c r="E145" s="329">
        <f>'PJ-čistoća-rashod-ok'!E23+'PJ-PiJP-rashod-ok'!E22+'PJ-GiPU-rashod-ok'!E22+'PJ PARKING RASHOD'!E22+'PJ-ZS-rashod-ok'!E22</f>
        <v>44000</v>
      </c>
      <c r="F145" s="499">
        <f t="shared" si="5"/>
        <v>0.25311564366733025</v>
      </c>
      <c r="G145" s="387">
        <f t="shared" si="6"/>
        <v>100</v>
      </c>
    </row>
    <row r="146" spans="1:7" ht="12.75">
      <c r="A146" s="79" t="s">
        <v>227</v>
      </c>
      <c r="B146" s="79"/>
      <c r="C146" s="319">
        <f>'PJ-čistoća-rashod-ok'!C24+'PJ-PiJP-rashod-ok'!C23+'PJ-GiPU-rashod-ok'!C23+'PJ PARKING RASHOD'!C23+'PJ-ZS-rashod-ok'!C23</f>
        <v>0</v>
      </c>
      <c r="D146" s="568">
        <f t="shared" si="4"/>
        <v>0</v>
      </c>
      <c r="E146" s="329">
        <f>'PJ-čistoća-rashod-ok'!E24+'PJ-PiJP-rashod-ok'!E23+'PJ-GiPU-rashod-ok'!E23+'PJ PARKING RASHOD'!E23+'PJ-ZS-rashod-ok'!E23</f>
        <v>0</v>
      </c>
      <c r="F146" s="499">
        <f t="shared" si="5"/>
        <v>0</v>
      </c>
      <c r="G146" s="387" t="e">
        <f t="shared" si="6"/>
        <v>#DIV/0!</v>
      </c>
    </row>
    <row r="147" spans="1:7" ht="12.75">
      <c r="A147" s="79" t="s">
        <v>228</v>
      </c>
      <c r="B147" s="79"/>
      <c r="C147" s="319">
        <f>'PJ-čistoća-rashod-ok'!C25+'PJ-PiJP-rashod-ok'!C24+'PJ-GiPU-rashod-ok'!C24+'PJ PARKING RASHOD'!C24+'PJ-ZS-rashod-ok'!C24</f>
        <v>0</v>
      </c>
      <c r="D147" s="568">
        <f t="shared" si="4"/>
        <v>0</v>
      </c>
      <c r="E147" s="329">
        <f>'PJ-čistoća-rashod-ok'!E25+'PJ-PiJP-rashod-ok'!E24+'PJ-GiPU-rashod-ok'!E24+'PJ PARKING RASHOD'!E24+'PJ-ZS-rashod-ok'!E24</f>
        <v>0</v>
      </c>
      <c r="F147" s="499">
        <f t="shared" si="5"/>
        <v>0</v>
      </c>
      <c r="G147" s="387" t="e">
        <f t="shared" si="6"/>
        <v>#DIV/0!</v>
      </c>
    </row>
    <row r="148" spans="1:7" ht="12.75">
      <c r="A148" s="79" t="s">
        <v>229</v>
      </c>
      <c r="B148" s="79"/>
      <c r="C148" s="319">
        <f>'PJ-čistoća-rashod-ok'!C26+'PJ-PiJP-rashod-ok'!C25+'PJ-GiPU-rashod-ok'!C25+'PJ PARKING RASHOD'!C25+'PJ-ZS-rashod-ok'!C25</f>
        <v>0</v>
      </c>
      <c r="D148" s="568">
        <f t="shared" si="4"/>
        <v>0</v>
      </c>
      <c r="E148" s="329">
        <f>'PJ-čistoća-rashod-ok'!E26+'PJ-PiJP-rashod-ok'!E25+'PJ-GiPU-rashod-ok'!E25+'PJ PARKING RASHOD'!E25+'PJ-ZS-rashod-ok'!E25</f>
        <v>0</v>
      </c>
      <c r="F148" s="499">
        <f t="shared" si="5"/>
        <v>0</v>
      </c>
      <c r="G148" s="387" t="e">
        <f t="shared" si="6"/>
        <v>#DIV/0!</v>
      </c>
    </row>
    <row r="149" spans="1:7" ht="12.75">
      <c r="A149" s="79" t="s">
        <v>230</v>
      </c>
      <c r="B149" s="79"/>
      <c r="C149" s="319">
        <f>'PJ-čistoća-rashod-ok'!C27+'PJ-PiJP-rashod-ok'!C26+'PJ-GiPU-rashod-ok'!C26+'PJ PARKING RASHOD'!C26+'PJ-ZS-rashod-ok'!C26</f>
        <v>80000</v>
      </c>
      <c r="D149" s="568">
        <f t="shared" si="4"/>
        <v>0.5554618094173579</v>
      </c>
      <c r="E149" s="329">
        <f>'PJ-čistoća-rashod-ok'!E27+'PJ-PiJP-rashod-ok'!E26+'PJ-GiPU-rashod-ok'!E26+'PJ PARKING RASHOD'!E26+'PJ-ZS-rashod-ok'!E26</f>
        <v>80000</v>
      </c>
      <c r="F149" s="499">
        <f t="shared" si="5"/>
        <v>0.46021026121332764</v>
      </c>
      <c r="G149" s="387">
        <f t="shared" si="6"/>
        <v>100</v>
      </c>
    </row>
    <row r="150" spans="1:7" ht="12.75">
      <c r="A150" s="79" t="s">
        <v>231</v>
      </c>
      <c r="B150" s="79"/>
      <c r="C150" s="319">
        <f>'PJ-čistoća-rashod-ok'!C28+'PJ-PiJP-rashod-ok'!C27+'PJ-GiPU-rashod-ok'!C27+'PJ PARKING RASHOD'!C27+'PJ-ZS-rashod-ok'!C27</f>
        <v>105000</v>
      </c>
      <c r="D150" s="568">
        <f t="shared" si="4"/>
        <v>0.7290436248602823</v>
      </c>
      <c r="E150" s="329">
        <f>'PJ-čistoća-rashod-ok'!E28+'PJ-PiJP-rashod-ok'!E27+'PJ-GiPU-rashod-ok'!E27+'PJ PARKING RASHOD'!E27+'PJ-ZS-rashod-ok'!E27</f>
        <v>105000</v>
      </c>
      <c r="F150" s="499">
        <f t="shared" si="5"/>
        <v>0.6040259678424925</v>
      </c>
      <c r="G150" s="387">
        <f t="shared" si="6"/>
        <v>100</v>
      </c>
    </row>
    <row r="151" spans="1:7" ht="12.75">
      <c r="A151" s="79" t="s">
        <v>372</v>
      </c>
      <c r="B151" s="79"/>
      <c r="C151" s="319">
        <f>'PJ-čistoća-rashod-ok'!C29+'PJ-PiJP-rashod-ok'!C28+'PJ-GiPU-rashod-ok'!C28+'PJ PARKING RASHOD'!C28+'PJ-ZS-rashod-ok'!C28</f>
        <v>100000</v>
      </c>
      <c r="D151" s="568">
        <f t="shared" si="4"/>
        <v>0.6943272617716975</v>
      </c>
      <c r="E151" s="329">
        <f>'PJ-čistoća-rashod-ok'!E29+'PJ-PiJP-rashod-ok'!E28+'PJ-GiPU-rashod-ok'!E28+'PJ PARKING RASHOD'!E28+'PJ-ZS-rashod-ok'!E28</f>
        <v>100000</v>
      </c>
      <c r="F151" s="499">
        <f t="shared" si="5"/>
        <v>0.5752628265166596</v>
      </c>
      <c r="G151" s="387">
        <f t="shared" si="6"/>
        <v>100</v>
      </c>
    </row>
    <row r="152" spans="1:7" ht="12.75">
      <c r="A152" s="79" t="s">
        <v>232</v>
      </c>
      <c r="B152" s="79"/>
      <c r="C152" s="319">
        <f>'PJ-čistoća-rashod-ok'!C30+'PJ-PiJP-rashod-ok'!C29+'PJ-GiPU-rashod-ok'!C29+'PJ PARKING RASHOD'!C29+'PJ-ZS-rashod-ok'!C29</f>
        <v>182000</v>
      </c>
      <c r="D152" s="568">
        <f t="shared" si="4"/>
        <v>1.2636756164244893</v>
      </c>
      <c r="E152" s="329">
        <f>'PJ-čistoća-rashod-ok'!E30+'PJ-PiJP-rashod-ok'!E29+'PJ-GiPU-rashod-ok'!E29+'PJ PARKING RASHOD'!E29+'PJ-ZS-rashod-ok'!E29</f>
        <v>182000</v>
      </c>
      <c r="F152" s="499">
        <f t="shared" si="5"/>
        <v>1.0469783442603207</v>
      </c>
      <c r="G152" s="387">
        <f t="shared" si="6"/>
        <v>100</v>
      </c>
    </row>
    <row r="153" spans="1:7" ht="12.75">
      <c r="A153" s="79" t="s">
        <v>233</v>
      </c>
      <c r="B153" s="79"/>
      <c r="C153" s="319">
        <f>'PJ-čistoća-rashod-ok'!C31+'PJ-PiJP-rashod-ok'!C30+'PJ-GiPU-rashod-ok'!C30+'PJ PARKING RASHOD'!C30+'PJ-ZS-rashod-ok'!C30</f>
        <v>0</v>
      </c>
      <c r="D153" s="568">
        <f t="shared" si="4"/>
        <v>0</v>
      </c>
      <c r="E153" s="329">
        <f>'PJ-čistoća-rashod-ok'!E31+'PJ-PiJP-rashod-ok'!E30+'PJ-GiPU-rashod-ok'!E30+'PJ PARKING RASHOD'!E30+'PJ-ZS-rashod-ok'!E30</f>
        <v>0</v>
      </c>
      <c r="F153" s="499">
        <f t="shared" si="5"/>
        <v>0</v>
      </c>
      <c r="G153" s="387" t="e">
        <f t="shared" si="6"/>
        <v>#DIV/0!</v>
      </c>
    </row>
    <row r="154" spans="1:7" ht="12.75">
      <c r="A154" s="79" t="s">
        <v>234</v>
      </c>
      <c r="B154" s="79"/>
      <c r="C154" s="319">
        <f>'PJ-čistoća-rashod-ok'!C32+'PJ-PiJP-rashod-ok'!C31+'PJ-GiPU-rashod-ok'!C31+'PJ PARKING RASHOD'!C31+'PJ-ZS-rashod-ok'!C31</f>
        <v>0</v>
      </c>
      <c r="D154" s="568">
        <f t="shared" si="4"/>
        <v>0</v>
      </c>
      <c r="E154" s="329">
        <f>'PJ-čistoća-rashod-ok'!E32+'PJ-PiJP-rashod-ok'!E31+'PJ-GiPU-rashod-ok'!E31+'PJ PARKING RASHOD'!E31+'PJ-ZS-rashod-ok'!E31</f>
        <v>0</v>
      </c>
      <c r="F154" s="499">
        <f t="shared" si="5"/>
        <v>0</v>
      </c>
      <c r="G154" s="387" t="e">
        <f t="shared" si="6"/>
        <v>#DIV/0!</v>
      </c>
    </row>
    <row r="155" spans="1:7" ht="12.75">
      <c r="A155" s="79" t="s">
        <v>235</v>
      </c>
      <c r="B155" s="79"/>
      <c r="C155" s="319">
        <f>'PJ-čistoća-rashod-ok'!C33+'PJ-PiJP-rashod-ok'!C32+'PJ-GiPU-rashod-ok'!C32+'PJ PARKING RASHOD'!C32+'PJ-ZS-rashod-ok'!C32</f>
        <v>39000</v>
      </c>
      <c r="D155" s="568">
        <f t="shared" si="4"/>
        <v>0.270787632090962</v>
      </c>
      <c r="E155" s="329">
        <f>'PJ-čistoća-rashod-ok'!E33+'PJ-PiJP-rashod-ok'!E32+'PJ-GiPU-rashod-ok'!E32+'PJ PARKING RASHOD'!E32+'PJ-ZS-rashod-ok'!E32</f>
        <v>39000</v>
      </c>
      <c r="F155" s="499">
        <f t="shared" si="5"/>
        <v>0.22435250234149723</v>
      </c>
      <c r="G155" s="387">
        <f t="shared" si="6"/>
        <v>100</v>
      </c>
    </row>
    <row r="156" spans="1:7" ht="12.75">
      <c r="A156" s="79" t="s">
        <v>236</v>
      </c>
      <c r="B156" s="79"/>
      <c r="C156" s="319">
        <f>'PJ-čistoća-rashod-ok'!C34+'PJ-PiJP-rashod-ok'!C33+'PJ-GiPU-rashod-ok'!C33+'PJ PARKING RASHOD'!C33+'PJ-ZS-rashod-ok'!C33</f>
        <v>38000</v>
      </c>
      <c r="D156" s="568">
        <f t="shared" si="4"/>
        <v>0.263844359473245</v>
      </c>
      <c r="E156" s="329">
        <f>'PJ-čistoća-rashod-ok'!E34+'PJ-PiJP-rashod-ok'!E33+'PJ-GiPU-rashod-ok'!E33+'PJ PARKING RASHOD'!E33+'PJ-ZS-rashod-ok'!E33</f>
        <v>38000</v>
      </c>
      <c r="F156" s="499">
        <f t="shared" si="5"/>
        <v>0.21859987407633064</v>
      </c>
      <c r="G156" s="387">
        <f t="shared" si="6"/>
        <v>100</v>
      </c>
    </row>
    <row r="157" spans="1:7" ht="12.75">
      <c r="A157" s="79" t="s">
        <v>237</v>
      </c>
      <c r="B157" s="79"/>
      <c r="C157" s="319">
        <f>'PJ-čistoća-rashod-ok'!C35+'PJ-PiJP-rashod-ok'!C34+'PJ-GiPU-rashod-ok'!C34+'PJ PARKING RASHOD'!C34+'PJ-ZS-rashod-ok'!C34</f>
        <v>925000</v>
      </c>
      <c r="D157" s="568">
        <f t="shared" si="4"/>
        <v>6.422527171388201</v>
      </c>
      <c r="E157" s="329">
        <f>'PJ-čistoća-rashod-ok'!E35+'PJ-PiJP-rashod-ok'!E34+'PJ-GiPU-rashod-ok'!E34+'PJ PARKING RASHOD'!E34+'PJ-ZS-rashod-ok'!E34</f>
        <v>920000</v>
      </c>
      <c r="F157" s="499">
        <f t="shared" si="5"/>
        <v>5.2924180039532684</v>
      </c>
      <c r="G157" s="387">
        <f t="shared" si="6"/>
        <v>99.45945945945947</v>
      </c>
    </row>
    <row r="158" spans="1:7" ht="12.75">
      <c r="A158" s="79" t="s">
        <v>238</v>
      </c>
      <c r="B158" s="79"/>
      <c r="C158" s="319">
        <f>'PJ-čistoća-rashod-ok'!C36+'PJ-PiJP-rashod-ok'!C35+'PJ-GiPU-rashod-ok'!C35+'PJ PARKING RASHOD'!C35+'PJ-ZS-rashod-ok'!C35</f>
        <v>0</v>
      </c>
      <c r="D158" s="568">
        <f t="shared" si="4"/>
        <v>0</v>
      </c>
      <c r="E158" s="329">
        <f>'PJ-čistoća-rashod-ok'!E36+'PJ-PiJP-rashod-ok'!E35+'PJ-GiPU-rashod-ok'!E35+'PJ PARKING RASHOD'!E35+'PJ-ZS-rashod-ok'!E35</f>
        <v>0</v>
      </c>
      <c r="F158" s="499">
        <f t="shared" si="5"/>
        <v>0</v>
      </c>
      <c r="G158" s="387" t="e">
        <f t="shared" si="6"/>
        <v>#DIV/0!</v>
      </c>
    </row>
    <row r="159" spans="1:7" ht="13.5" thickBot="1">
      <c r="A159" s="79" t="s">
        <v>239</v>
      </c>
      <c r="B159" s="79"/>
      <c r="C159" s="390">
        <f>'PJ-čistoća-rashod-ok'!C37+'PJ-PiJP-rashod-ok'!C36+'PJ-GiPU-rashod-ok'!C36+'PJ PARKING RASHOD'!C36+'PJ-ZS-rashod-ok'!C36</f>
        <v>0</v>
      </c>
      <c r="D159" s="568">
        <f t="shared" si="4"/>
        <v>0</v>
      </c>
      <c r="E159" s="502">
        <f>'PJ-čistoća-rashod-ok'!E37+'PJ-PiJP-rashod-ok'!E36+'PJ-GiPU-rashod-ok'!E36+'PJ PARKING RASHOD'!E36+'PJ-ZS-rashod-ok'!E36</f>
        <v>0</v>
      </c>
      <c r="F159" s="499">
        <f t="shared" si="5"/>
        <v>0</v>
      </c>
      <c r="G159" s="387" t="e">
        <f t="shared" si="6"/>
        <v>#DIV/0!</v>
      </c>
    </row>
    <row r="160" spans="1:7" ht="13.5" thickBot="1">
      <c r="A160" s="302">
        <v>40</v>
      </c>
      <c r="B160" s="316" t="s">
        <v>12</v>
      </c>
      <c r="C160" s="317">
        <f>'PJ-čistoća-rashod-ok'!C38+'PJ-PiJP-rashod-ok'!C37+'PJ-GiPU-rashod-ok'!C37+'PJ PARKING RASHOD'!C37+'PJ-ZS-rashod-ok'!C37</f>
        <v>2232500</v>
      </c>
      <c r="D160" s="417">
        <f t="shared" si="4"/>
        <v>15.500856119053147</v>
      </c>
      <c r="E160" s="438">
        <f>'PJ-čistoća-rashod-ok'!E38+'PJ-PiJP-rashod-ok'!E37+'PJ-GiPU-rashod-ok'!E37+'PJ PARKING RASHOD'!E37+'PJ-ZS-rashod-ok'!E37</f>
        <v>4922500</v>
      </c>
      <c r="F160" s="500">
        <f t="shared" si="5"/>
        <v>28.317312635282573</v>
      </c>
      <c r="G160" s="389">
        <f t="shared" si="6"/>
        <v>220.49272116461367</v>
      </c>
    </row>
    <row r="161" spans="1:7" ht="13.5" thickBot="1">
      <c r="A161" s="302"/>
      <c r="B161" s="302"/>
      <c r="C161" s="318"/>
      <c r="D161" s="187"/>
      <c r="E161" s="318"/>
      <c r="F161" s="187"/>
      <c r="G161" s="313"/>
    </row>
    <row r="162" spans="1:7" ht="12.75">
      <c r="A162" s="79" t="s">
        <v>241</v>
      </c>
      <c r="B162" s="312"/>
      <c r="C162" s="498">
        <f>'PJ-čistoća-rashod-ok'!C40+'PJ-PiJP-rashod-ok'!C39+'PJ-GiPU-rashod-ok'!C39+'PJ PARKING RASHOD'!C39+'PJ-ZS-rashod-ok'!C39</f>
        <v>190000</v>
      </c>
      <c r="D162" s="433">
        <f aca="true" t="shared" si="7" ref="D162:D180">$C162/$C$305*100</f>
        <v>1.3192217973662252</v>
      </c>
      <c r="E162" s="501">
        <f>'PJ-čistoća-rashod-ok'!E40+'PJ-PiJP-rashod-ok'!E39+'PJ-GiPU-rashod-ok'!E39+'PJ PARKING RASHOD'!E39+'PJ-ZS-rashod-ok'!E39</f>
        <v>190000</v>
      </c>
      <c r="F162" s="433">
        <f aca="true" t="shared" si="8" ref="F162:F180">$E162/$E$305*100</f>
        <v>1.0929993703816532</v>
      </c>
      <c r="G162" s="383">
        <f aca="true" t="shared" si="9" ref="G162:G180">E162/C162*100</f>
        <v>100</v>
      </c>
    </row>
    <row r="163" spans="1:7" ht="12.75">
      <c r="A163" s="79" t="s">
        <v>242</v>
      </c>
      <c r="B163" s="312"/>
      <c r="C163" s="499">
        <f>'PJ-čistoća-rashod-ok'!C41+'PJ-PiJP-rashod-ok'!C40+'PJ-GiPU-rashod-ok'!C40+'PJ PARKING RASHOD'!C40+'PJ-ZS-rashod-ok'!C40</f>
        <v>88000</v>
      </c>
      <c r="D163" s="319">
        <f t="shared" si="7"/>
        <v>0.6110079903590937</v>
      </c>
      <c r="E163" s="329">
        <f>'PJ-čistoća-rashod-ok'!E41+'PJ-PiJP-rashod-ok'!E40+'PJ-GiPU-rashod-ok'!E40+'PJ PARKING RASHOD'!E40+'PJ-ZS-rashod-ok'!E40</f>
        <v>88000</v>
      </c>
      <c r="F163" s="319">
        <f t="shared" si="8"/>
        <v>0.5062312873346605</v>
      </c>
      <c r="G163" s="384">
        <f t="shared" si="9"/>
        <v>100</v>
      </c>
    </row>
    <row r="164" spans="1:7" ht="12.75">
      <c r="A164" s="79" t="s">
        <v>243</v>
      </c>
      <c r="B164" s="312"/>
      <c r="C164" s="499">
        <f>'PJ-čistoća-rashod-ok'!C42+'PJ-PiJP-rashod-ok'!C41+'PJ-GiPU-rashod-ok'!C41+'PJ PARKING RASHOD'!C41+'PJ-ZS-rashod-ok'!C41</f>
        <v>0</v>
      </c>
      <c r="D164" s="319">
        <f t="shared" si="7"/>
        <v>0</v>
      </c>
      <c r="E164" s="329">
        <f>'PJ-čistoća-rashod-ok'!E42+'PJ-PiJP-rashod-ok'!E41+'PJ-GiPU-rashod-ok'!E41+'PJ PARKING RASHOD'!E41+'PJ-ZS-rashod-ok'!E41</f>
        <v>0</v>
      </c>
      <c r="F164" s="319">
        <f t="shared" si="8"/>
        <v>0</v>
      </c>
      <c r="G164" s="384" t="e">
        <f t="shared" si="9"/>
        <v>#DIV/0!</v>
      </c>
    </row>
    <row r="165" spans="1:7" ht="12.75">
      <c r="A165" s="79" t="s">
        <v>244</v>
      </c>
      <c r="B165" s="312"/>
      <c r="C165" s="499">
        <f>'PJ-čistoća-rashod-ok'!C43+'PJ-PiJP-rashod-ok'!C42+'PJ-GiPU-rashod-ok'!C42+'PJ PARKING RASHOD'!C42+'PJ-ZS-rashod-ok'!C42</f>
        <v>387000</v>
      </c>
      <c r="D165" s="319">
        <f t="shared" si="7"/>
        <v>2.6870465030564694</v>
      </c>
      <c r="E165" s="329">
        <f>'PJ-čistoća-rashod-ok'!E43+'PJ-PiJP-rashod-ok'!E42+'PJ-GiPU-rashod-ok'!E42+'PJ PARKING RASHOD'!E42+'PJ-ZS-rashod-ok'!E42</f>
        <v>287000</v>
      </c>
      <c r="F165" s="319">
        <f t="shared" si="8"/>
        <v>1.651004312102813</v>
      </c>
      <c r="G165" s="384">
        <f t="shared" si="9"/>
        <v>74.16020671834626</v>
      </c>
    </row>
    <row r="166" spans="1:7" ht="12.75">
      <c r="A166" s="79" t="s">
        <v>245</v>
      </c>
      <c r="B166" s="312"/>
      <c r="C166" s="499">
        <f>'PJ-čistoća-rashod-ok'!C44+'PJ-PiJP-rashod-ok'!C43+'PJ-GiPU-rashod-ok'!C43+'PJ PARKING RASHOD'!C43+'PJ-ZS-rashod-ok'!C43</f>
        <v>0</v>
      </c>
      <c r="D166" s="319">
        <f t="shared" si="7"/>
        <v>0</v>
      </c>
      <c r="E166" s="329">
        <f>'PJ-čistoća-rashod-ok'!E44+'PJ-PiJP-rashod-ok'!E43+'PJ-GiPU-rashod-ok'!E43+'PJ PARKING RASHOD'!E43+'PJ-ZS-rashod-ok'!E43</f>
        <v>0</v>
      </c>
      <c r="F166" s="319">
        <f t="shared" si="8"/>
        <v>0</v>
      </c>
      <c r="G166" s="384" t="e">
        <f t="shared" si="9"/>
        <v>#DIV/0!</v>
      </c>
    </row>
    <row r="167" spans="1:7" ht="12.75">
      <c r="A167" s="79" t="s">
        <v>246</v>
      </c>
      <c r="B167" s="312"/>
      <c r="C167" s="499">
        <f>'PJ-čistoća-rashod-ok'!C45+'PJ-PiJP-rashod-ok'!C44+'PJ-GiPU-rashod-ok'!C44+'PJ PARKING RASHOD'!C44+'PJ-ZS-rashod-ok'!C44</f>
        <v>0</v>
      </c>
      <c r="D167" s="319">
        <f t="shared" si="7"/>
        <v>0</v>
      </c>
      <c r="E167" s="329">
        <f>'PJ-čistoća-rashod-ok'!E45+'PJ-PiJP-rashod-ok'!E44+'PJ-GiPU-rashod-ok'!E44+'PJ PARKING RASHOD'!E44+'PJ-ZS-rashod-ok'!E44</f>
        <v>0</v>
      </c>
      <c r="F167" s="319">
        <f t="shared" si="8"/>
        <v>0</v>
      </c>
      <c r="G167" s="384" t="e">
        <f t="shared" si="9"/>
        <v>#DIV/0!</v>
      </c>
    </row>
    <row r="168" spans="1:7" ht="12.75">
      <c r="A168" s="79" t="s">
        <v>247</v>
      </c>
      <c r="B168" s="312"/>
      <c r="C168" s="499">
        <f>'PJ-čistoća-rashod-ok'!C46+'PJ-PiJP-rashod-ok'!C45+'PJ-GiPU-rashod-ok'!C45+'PJ PARKING RASHOD'!C45+'PJ-ZS-rashod-ok'!C45</f>
        <v>630000</v>
      </c>
      <c r="D168" s="319">
        <f t="shared" si="7"/>
        <v>4.374261749161694</v>
      </c>
      <c r="E168" s="329">
        <f>'PJ-čistoća-rashod-ok'!E46+'PJ-PiJP-rashod-ok'!E45+'PJ-GiPU-rashod-ok'!E45+'PJ PARKING RASHOD'!E45+'PJ-ZS-rashod-ok'!E45</f>
        <v>429000</v>
      </c>
      <c r="F168" s="319">
        <f t="shared" si="8"/>
        <v>2.46787752575647</v>
      </c>
      <c r="G168" s="384">
        <f t="shared" si="9"/>
        <v>68.0952380952381</v>
      </c>
    </row>
    <row r="169" spans="1:7" ht="12.75">
      <c r="A169" s="79" t="s">
        <v>248</v>
      </c>
      <c r="B169" s="312"/>
      <c r="C169" s="499">
        <f>'PJ-čistoća-rashod-ok'!C47+'PJ-PiJP-rashod-ok'!C46+'PJ-GiPU-rashod-ok'!C46+'PJ PARKING RASHOD'!C46+'PJ-ZS-rashod-ok'!C46</f>
        <v>0</v>
      </c>
      <c r="D169" s="319">
        <f t="shared" si="7"/>
        <v>0</v>
      </c>
      <c r="E169" s="329">
        <f>'PJ-čistoća-rashod-ok'!E47+'PJ-PiJP-rashod-ok'!E46+'PJ-GiPU-rashod-ok'!E46+'PJ PARKING RASHOD'!E46+'PJ-ZS-rashod-ok'!E46</f>
        <v>0</v>
      </c>
      <c r="F169" s="319">
        <f t="shared" si="8"/>
        <v>0</v>
      </c>
      <c r="G169" s="384" t="e">
        <f t="shared" si="9"/>
        <v>#DIV/0!</v>
      </c>
    </row>
    <row r="170" spans="1:7" ht="12.75">
      <c r="A170" s="79" t="s">
        <v>249</v>
      </c>
      <c r="B170" s="312"/>
      <c r="C170" s="499">
        <f>'PJ-čistoća-rashod-ok'!C48+'PJ-PiJP-rashod-ok'!C47+'PJ-GiPU-rashod-ok'!C47+'PJ PARKING RASHOD'!C47+'PJ-ZS-rashod-ok'!C47</f>
        <v>0</v>
      </c>
      <c r="D170" s="319">
        <f t="shared" si="7"/>
        <v>0</v>
      </c>
      <c r="E170" s="329">
        <f>'PJ-čistoća-rashod-ok'!E48+'PJ-PiJP-rashod-ok'!E47+'PJ-GiPU-rashod-ok'!E47+'PJ PARKING RASHOD'!E47+'PJ-ZS-rashod-ok'!E47</f>
        <v>0</v>
      </c>
      <c r="F170" s="319">
        <f t="shared" si="8"/>
        <v>0</v>
      </c>
      <c r="G170" s="384" t="e">
        <f t="shared" si="9"/>
        <v>#DIV/0!</v>
      </c>
    </row>
    <row r="171" spans="1:7" ht="12.75">
      <c r="A171" s="79" t="s">
        <v>250</v>
      </c>
      <c r="B171" s="312"/>
      <c r="C171" s="499">
        <f>'PJ-čistoća-rashod-ok'!C49+'PJ-PiJP-rashod-ok'!C48+'PJ-GiPU-rashod-ok'!C48+'PJ PARKING RASHOD'!C48+'PJ-ZS-rashod-ok'!C48</f>
        <v>136000</v>
      </c>
      <c r="D171" s="319">
        <f t="shared" si="7"/>
        <v>0.9442850760095085</v>
      </c>
      <c r="E171" s="329">
        <f>'PJ-čistoća-rashod-ok'!E49+'PJ-PiJP-rashod-ok'!E48+'PJ-GiPU-rashod-ok'!E48+'PJ PARKING RASHOD'!E48+'PJ-ZS-rashod-ok'!E48</f>
        <v>136000</v>
      </c>
      <c r="F171" s="319">
        <f t="shared" si="8"/>
        <v>0.7823574440626572</v>
      </c>
      <c r="G171" s="384">
        <f t="shared" si="9"/>
        <v>100</v>
      </c>
    </row>
    <row r="172" spans="1:7" ht="12.75">
      <c r="A172" s="79" t="s">
        <v>251</v>
      </c>
      <c r="B172" s="312"/>
      <c r="C172" s="499">
        <f>'PJ-čistoća-rashod-ok'!C50+'PJ-PiJP-rashod-ok'!C49+'PJ-GiPU-rashod-ok'!C49+'PJ PARKING RASHOD'!C49+'PJ-ZS-rashod-ok'!C49</f>
        <v>500</v>
      </c>
      <c r="D172" s="319">
        <f t="shared" si="7"/>
        <v>0.003471636308858487</v>
      </c>
      <c r="E172" s="329">
        <f>'PJ-čistoća-rashod-ok'!E50+'PJ-PiJP-rashod-ok'!E49+'PJ-GiPU-rashod-ok'!E49+'PJ PARKING RASHOD'!E49+'PJ-ZS-rashod-ok'!E49</f>
        <v>500</v>
      </c>
      <c r="F172" s="319">
        <f t="shared" si="8"/>
        <v>0.002876314132583298</v>
      </c>
      <c r="G172" s="384">
        <f t="shared" si="9"/>
        <v>100</v>
      </c>
    </row>
    <row r="173" spans="1:7" ht="12.75">
      <c r="A173" s="79" t="s">
        <v>252</v>
      </c>
      <c r="B173" s="312"/>
      <c r="C173" s="499">
        <f>'PJ-čistoća-rashod-ok'!C51+'PJ-PiJP-rashod-ok'!C50+'PJ-GiPU-rashod-ok'!C50+'PJ PARKING RASHOD'!C50+'PJ-ZS-rashod-ok'!C50</f>
        <v>140000</v>
      </c>
      <c r="D173" s="319">
        <f t="shared" si="7"/>
        <v>0.9720581664803765</v>
      </c>
      <c r="E173" s="329">
        <f>'PJ-čistoća-rashod-ok'!E51+'PJ-PiJP-rashod-ok'!E50+'PJ-GiPU-rashod-ok'!E50+'PJ PARKING RASHOD'!E50+'PJ-ZS-rashod-ok'!E50</f>
        <v>140000</v>
      </c>
      <c r="F173" s="319">
        <f t="shared" si="8"/>
        <v>0.8053679571233233</v>
      </c>
      <c r="G173" s="384">
        <f t="shared" si="9"/>
        <v>100</v>
      </c>
    </row>
    <row r="174" spans="1:7" ht="12.75">
      <c r="A174" s="79" t="s">
        <v>253</v>
      </c>
      <c r="B174" s="312"/>
      <c r="C174" s="499">
        <f>'PJ-čistoća-rashod-ok'!C52+'PJ-PiJP-rashod-ok'!C51+'PJ-GiPU-rashod-ok'!C51+'PJ PARKING RASHOD'!C51+'PJ-ZS-rashod-ok'!C51</f>
        <v>328000</v>
      </c>
      <c r="D174" s="319">
        <f t="shared" si="7"/>
        <v>2.277393418611168</v>
      </c>
      <c r="E174" s="329">
        <f>'PJ-čistoća-rashod-ok'!E52+'PJ-PiJP-rashod-ok'!E51+'PJ-GiPU-rashod-ok'!E51+'PJ PARKING RASHOD'!E51+'PJ-ZS-rashod-ok'!E51</f>
        <v>328000</v>
      </c>
      <c r="F174" s="319">
        <f t="shared" si="8"/>
        <v>1.8868620709746435</v>
      </c>
      <c r="G174" s="384">
        <f t="shared" si="9"/>
        <v>100</v>
      </c>
    </row>
    <row r="175" spans="1:7" ht="12.75">
      <c r="A175" s="79" t="s">
        <v>254</v>
      </c>
      <c r="B175" s="312"/>
      <c r="C175" s="499">
        <f>'PJ-čistoća-rashod-ok'!C53+'PJ-PiJP-rashod-ok'!C52+'PJ-GiPU-rashod-ok'!C52+'PJ PARKING RASHOD'!C52+'PJ-ZS-rashod-ok'!C52</f>
        <v>0</v>
      </c>
      <c r="D175" s="319">
        <f t="shared" si="7"/>
        <v>0</v>
      </c>
      <c r="E175" s="329">
        <f>'PJ-čistoća-rashod-ok'!E53+'PJ-PiJP-rashod-ok'!E52+'PJ-GiPU-rashod-ok'!E52+'PJ PARKING RASHOD'!E52+'PJ-ZS-rashod-ok'!E52</f>
        <v>0</v>
      </c>
      <c r="F175" s="319">
        <f t="shared" si="8"/>
        <v>0</v>
      </c>
      <c r="G175" s="384" t="e">
        <f t="shared" si="9"/>
        <v>#DIV/0!</v>
      </c>
    </row>
    <row r="176" spans="1:7" ht="12.75">
      <c r="A176" s="79" t="s">
        <v>255</v>
      </c>
      <c r="B176" s="312"/>
      <c r="C176" s="499">
        <f>'PJ-čistoća-rashod-ok'!C54+'PJ-PiJP-rashod-ok'!C53+'PJ-GiPU-rashod-ok'!C53+'PJ PARKING RASHOD'!C53+'PJ-ZS-rashod-ok'!C53</f>
        <v>0</v>
      </c>
      <c r="D176" s="319">
        <f t="shared" si="7"/>
        <v>0</v>
      </c>
      <c r="E176" s="329">
        <f>'PJ-čistoća-rashod-ok'!E54+'PJ-PiJP-rashod-ok'!E53+'PJ-GiPU-rashod-ok'!E53+'PJ PARKING RASHOD'!E53+'PJ-ZS-rashod-ok'!E53</f>
        <v>0</v>
      </c>
      <c r="F176" s="319">
        <f t="shared" si="8"/>
        <v>0</v>
      </c>
      <c r="G176" s="384" t="e">
        <f t="shared" si="9"/>
        <v>#DIV/0!</v>
      </c>
    </row>
    <row r="177" spans="1:7" ht="12.75">
      <c r="A177" s="79" t="s">
        <v>256</v>
      </c>
      <c r="B177" s="312"/>
      <c r="C177" s="499">
        <f>'PJ-čistoća-rashod-ok'!C55+'PJ-PiJP-rashod-ok'!C54+'PJ-GiPU-rashod-ok'!C54+'PJ PARKING RASHOD'!C54+'PJ-ZS-rashod-ok'!C54</f>
        <v>0</v>
      </c>
      <c r="D177" s="319">
        <f t="shared" si="7"/>
        <v>0</v>
      </c>
      <c r="E177" s="329">
        <f>'PJ-čistoća-rashod-ok'!E55+'PJ-PiJP-rashod-ok'!E54+'PJ-GiPU-rashod-ok'!E54+'PJ PARKING RASHOD'!E54+'PJ-ZS-rashod-ok'!E54</f>
        <v>0</v>
      </c>
      <c r="F177" s="319">
        <f t="shared" si="8"/>
        <v>0</v>
      </c>
      <c r="G177" s="384" t="e">
        <f t="shared" si="9"/>
        <v>#DIV/0!</v>
      </c>
    </row>
    <row r="178" spans="1:7" ht="12.75">
      <c r="A178" s="79" t="s">
        <v>257</v>
      </c>
      <c r="B178" s="312"/>
      <c r="C178" s="499">
        <f>'PJ-čistoća-rashod-ok'!C56+'PJ-PiJP-rashod-ok'!C55+'PJ-GiPU-rashod-ok'!C55+'PJ PARKING RASHOD'!C55+'PJ-ZS-rashod-ok'!C55</f>
        <v>60000</v>
      </c>
      <c r="D178" s="319">
        <f t="shared" si="7"/>
        <v>0.41659635706301845</v>
      </c>
      <c r="E178" s="329">
        <f>'PJ-čistoća-rashod-ok'!E56+'PJ-PiJP-rashod-ok'!E55+'PJ-GiPU-rashod-ok'!E55+'PJ PARKING RASHOD'!E55+'PJ-ZS-rashod-ok'!E55</f>
        <v>60000</v>
      </c>
      <c r="F178" s="319">
        <f t="shared" si="8"/>
        <v>0.34515769590999573</v>
      </c>
      <c r="G178" s="384">
        <f t="shared" si="9"/>
        <v>100</v>
      </c>
    </row>
    <row r="179" spans="1:7" ht="12.75">
      <c r="A179" s="79" t="s">
        <v>258</v>
      </c>
      <c r="B179" s="312"/>
      <c r="C179" s="499">
        <f>'PJ-čistoća-rashod-ok'!C57+'PJ-PiJP-rashod-ok'!C56+'PJ-GiPU-rashod-ok'!C56+'PJ PARKING RASHOD'!C56+'PJ-ZS-rashod-ok'!C56</f>
        <v>275000</v>
      </c>
      <c r="D179" s="319">
        <f t="shared" si="7"/>
        <v>1.9093999698721678</v>
      </c>
      <c r="E179" s="329">
        <f>'PJ-čistoća-rashod-ok'!E57+'PJ-PiJP-rashod-ok'!E56+'PJ-GiPU-rashod-ok'!E56+'PJ PARKING RASHOD'!E56+'PJ-ZS-rashod-ok'!E56</f>
        <v>275000</v>
      </c>
      <c r="F179" s="319">
        <f t="shared" si="8"/>
        <v>1.581972772920814</v>
      </c>
      <c r="G179" s="384">
        <f t="shared" si="9"/>
        <v>100</v>
      </c>
    </row>
    <row r="180" spans="1:7" ht="13.5" thickBot="1">
      <c r="A180" s="79" t="s">
        <v>259</v>
      </c>
      <c r="B180" s="312"/>
      <c r="C180" s="334">
        <f>'PJ-čistoća-rashod-ok'!C58+'PJ-PiJP-rashod-ok'!C57+'PJ-GiPU-rashod-ok'!C57+'PJ PARKING RASHOD'!C57+'PJ-ZS-rashod-ok'!C57</f>
        <v>0</v>
      </c>
      <c r="D180" s="390">
        <f t="shared" si="7"/>
        <v>0</v>
      </c>
      <c r="E180" s="502">
        <f>'PJ-čistoća-rashod-ok'!E58+'PJ-PiJP-rashod-ok'!E57+'PJ-GiPU-rashod-ok'!E57+'PJ PARKING RASHOD'!E57+'PJ-ZS-rashod-ok'!E57</f>
        <v>0</v>
      </c>
      <c r="F180" s="390">
        <f t="shared" si="8"/>
        <v>0</v>
      </c>
      <c r="G180" s="421" t="e">
        <f t="shared" si="9"/>
        <v>#DIV/0!</v>
      </c>
    </row>
    <row r="181" spans="1:7" ht="12.75">
      <c r="A181" s="79"/>
      <c r="B181" s="312"/>
      <c r="C181" s="333"/>
      <c r="D181" s="336"/>
      <c r="E181" s="333"/>
      <c r="F181" s="336"/>
      <c r="G181" s="313"/>
    </row>
    <row r="182" spans="1:7" ht="12.75">
      <c r="A182" s="79"/>
      <c r="B182" s="312"/>
      <c r="C182" s="333"/>
      <c r="D182" s="336"/>
      <c r="E182" s="333"/>
      <c r="F182" s="336"/>
      <c r="G182" s="313"/>
    </row>
    <row r="183" spans="1:7" ht="12.75">
      <c r="A183" s="79"/>
      <c r="B183" s="312"/>
      <c r="C183" s="333"/>
      <c r="D183" s="336"/>
      <c r="E183" s="333"/>
      <c r="F183" s="336"/>
      <c r="G183" s="313"/>
    </row>
    <row r="184" spans="1:7" ht="12.75">
      <c r="A184" s="79"/>
      <c r="B184" s="312"/>
      <c r="C184" s="333"/>
      <c r="D184" s="336"/>
      <c r="E184" s="333"/>
      <c r="F184" s="336"/>
      <c r="G184" s="313"/>
    </row>
    <row r="185" spans="1:7" ht="12.75">
      <c r="A185" s="79"/>
      <c r="B185" s="312"/>
      <c r="C185" s="333"/>
      <c r="D185" s="336"/>
      <c r="E185" s="333"/>
      <c r="F185" s="336"/>
      <c r="G185" s="313"/>
    </row>
    <row r="186" spans="1:7" ht="13.5">
      <c r="A186" s="34"/>
      <c r="B186" s="35" t="s">
        <v>166</v>
      </c>
      <c r="C186" s="34"/>
      <c r="D186" s="34"/>
      <c r="E186" s="34"/>
      <c r="G186" s="304" t="s">
        <v>344</v>
      </c>
    </row>
    <row r="187" spans="1:7" ht="13.5">
      <c r="A187" s="34"/>
      <c r="B187" s="37" t="s">
        <v>33</v>
      </c>
      <c r="C187" s="34" t="s">
        <v>218</v>
      </c>
      <c r="D187" s="34"/>
      <c r="E187" s="34"/>
      <c r="F187" s="45"/>
      <c r="G187" s="208"/>
    </row>
    <row r="188" spans="1:7" ht="13.5">
      <c r="A188" s="162"/>
      <c r="B188" s="37" t="s">
        <v>34</v>
      </c>
      <c r="C188" s="34" t="s">
        <v>219</v>
      </c>
      <c r="D188" s="34"/>
      <c r="E188" s="34"/>
      <c r="F188" s="45"/>
      <c r="G188" s="208"/>
    </row>
    <row r="189" spans="1:7" ht="18">
      <c r="A189" s="34"/>
      <c r="B189" s="38" t="s">
        <v>35</v>
      </c>
      <c r="C189" s="34" t="s">
        <v>220</v>
      </c>
      <c r="D189" s="34"/>
      <c r="E189" s="34"/>
      <c r="F189" s="51"/>
      <c r="G189" s="305"/>
    </row>
    <row r="190" spans="1:7" ht="13.5">
      <c r="A190" s="34"/>
      <c r="B190" s="34"/>
      <c r="C190" s="34" t="s">
        <v>378</v>
      </c>
      <c r="D190" s="34"/>
      <c r="E190" s="34"/>
      <c r="F190" s="48"/>
      <c r="G190" s="305"/>
    </row>
    <row r="191" spans="1:7" ht="12.75">
      <c r="A191" s="149"/>
      <c r="B191" s="124" t="s">
        <v>79</v>
      </c>
      <c r="C191" s="45"/>
      <c r="D191" s="45"/>
      <c r="E191" s="45"/>
      <c r="F191" s="48"/>
      <c r="G191" s="306"/>
    </row>
    <row r="192" spans="1:7" ht="12.75">
      <c r="A192" s="303"/>
      <c r="B192" s="307" t="s">
        <v>374</v>
      </c>
      <c r="C192" s="79"/>
      <c r="D192" s="79"/>
      <c r="E192" s="79"/>
      <c r="F192" s="306"/>
      <c r="G192" s="306"/>
    </row>
    <row r="193" spans="1:7" ht="12.75">
      <c r="A193" s="303"/>
      <c r="B193" s="302" t="s">
        <v>152</v>
      </c>
      <c r="C193" s="79"/>
      <c r="D193" s="79"/>
      <c r="E193" s="79"/>
      <c r="F193" s="303"/>
      <c r="G193" s="161"/>
    </row>
    <row r="194" spans="1:7" ht="12.75">
      <c r="A194" s="161"/>
      <c r="B194" s="456" t="s">
        <v>325</v>
      </c>
      <c r="C194" s="79"/>
      <c r="D194" s="79"/>
      <c r="E194" s="79"/>
      <c r="F194" s="161"/>
      <c r="G194" s="161"/>
    </row>
    <row r="195" spans="1:7" ht="13.5" thickBot="1">
      <c r="A195" s="122">
        <v>1</v>
      </c>
      <c r="B195" s="122">
        <v>2</v>
      </c>
      <c r="C195" s="122">
        <v>3</v>
      </c>
      <c r="D195" s="122">
        <v>4</v>
      </c>
      <c r="E195" s="122">
        <v>5</v>
      </c>
      <c r="F195" s="122">
        <v>6</v>
      </c>
      <c r="G195" s="122">
        <v>7</v>
      </c>
    </row>
    <row r="196" spans="1:7" ht="13.5">
      <c r="A196" s="302"/>
      <c r="B196" s="309" t="s">
        <v>7</v>
      </c>
      <c r="C196" s="310" t="s">
        <v>365</v>
      </c>
      <c r="D196" s="494" t="s">
        <v>28</v>
      </c>
      <c r="E196" s="310" t="s">
        <v>380</v>
      </c>
      <c r="F196" s="424" t="s">
        <v>28</v>
      </c>
      <c r="G196" s="393" t="s">
        <v>13</v>
      </c>
    </row>
    <row r="197" spans="1:7" ht="13.5" thickBot="1">
      <c r="A197" s="161"/>
      <c r="B197" s="161"/>
      <c r="C197" s="204" t="s">
        <v>16</v>
      </c>
      <c r="D197" s="496" t="s">
        <v>15</v>
      </c>
      <c r="E197" s="204" t="s">
        <v>16</v>
      </c>
      <c r="F197" s="446" t="s">
        <v>15</v>
      </c>
      <c r="G197" s="452" t="s">
        <v>40</v>
      </c>
    </row>
    <row r="198" spans="1:7" ht="12.75">
      <c r="A198" s="414" t="s">
        <v>322</v>
      </c>
      <c r="B198" s="79"/>
      <c r="C198" s="503">
        <f>'PJ-čistoća-rashod-ok'!C75+'PJ-PiJP-rashod-ok'!C73+'PJ-GiPU-rashod-ok'!C74+'PJ PARKING RASHOD'!C73+'PJ-ZS-rashod-ok'!C73</f>
        <v>45000</v>
      </c>
      <c r="D198" s="433">
        <f aca="true" t="shared" si="10" ref="D198:D212">$C198/$C$305*100</f>
        <v>0.31244726779726384</v>
      </c>
      <c r="E198" s="506">
        <f>'PJ-čistoća-rashod-ok'!E75+'PJ-PiJP-rashod-ok'!E73+'PJ-GiPU-rashod-ok'!E74+'PJ PARKING RASHOD'!E73+'PJ-ZS-rashod-ok'!E73</f>
        <v>45000</v>
      </c>
      <c r="F198" s="433">
        <f aca="true" t="shared" si="11" ref="F198:F212">$E198/$E$305*100</f>
        <v>0.25886827193249684</v>
      </c>
      <c r="G198" s="386">
        <f aca="true" t="shared" si="12" ref="G198:G212">E198/C198*100</f>
        <v>100</v>
      </c>
    </row>
    <row r="199" spans="1:7" ht="12.75">
      <c r="A199" s="414" t="s">
        <v>261</v>
      </c>
      <c r="B199" s="79"/>
      <c r="C199" s="504">
        <f>'PJ-čistoća-rashod-ok'!C76+'PJ-PiJP-rashod-ok'!C74+'PJ-GiPU-rashod-ok'!C75+'PJ PARKING RASHOD'!C74+'PJ-ZS-rashod-ok'!C74</f>
        <v>245000</v>
      </c>
      <c r="D199" s="319">
        <f t="shared" si="10"/>
        <v>1.7011017913406585</v>
      </c>
      <c r="E199" s="457">
        <f>'PJ-čistoća-rashod-ok'!E76+'PJ-PiJP-rashod-ok'!E74+'PJ-GiPU-rashod-ok'!E75+'PJ PARKING RASHOD'!E74+'PJ-ZS-rashod-ok'!E74</f>
        <v>326241.28</v>
      </c>
      <c r="F199" s="319">
        <f t="shared" si="11"/>
        <v>1.87674480859213</v>
      </c>
      <c r="G199" s="387">
        <f t="shared" si="12"/>
        <v>133.159706122449</v>
      </c>
    </row>
    <row r="200" spans="1:7" ht="12.75">
      <c r="A200" s="414" t="s">
        <v>385</v>
      </c>
      <c r="B200" s="79"/>
      <c r="C200" s="504">
        <f>'PJ-čistoća-rashod-ok'!C77+'PJ-PiJP-rashod-ok'!C75+'PJ-GiPU-rashod-ok'!C76+'PJ PARKING RASHOD'!C75+'PJ-ZS-rashod-ok'!C75</f>
        <v>29500</v>
      </c>
      <c r="D200" s="319">
        <f t="shared" si="10"/>
        <v>0.20482654222265073</v>
      </c>
      <c r="E200" s="457">
        <f>'PJ-čistoća-rashod-ok'!E77+'PJ-PiJP-rashod-ok'!E75+'PJ-GiPU-rashod-ok'!E76+'PJ PARKING RASHOD'!E75+'PJ-ZS-rashod-ok'!E75</f>
        <v>32500</v>
      </c>
      <c r="F200" s="319">
        <f t="shared" si="11"/>
        <v>0.18696041861791438</v>
      </c>
      <c r="G200" s="387">
        <f t="shared" si="12"/>
        <v>110.16949152542372</v>
      </c>
    </row>
    <row r="201" spans="1:7" ht="12.75">
      <c r="A201" s="414" t="s">
        <v>386</v>
      </c>
      <c r="B201" s="79"/>
      <c r="C201" s="504">
        <f>'PJ-čistoća-rashod-ok'!C78+'PJ-PiJP-rashod-ok'!C76+'PJ-GiPU-rashod-ok'!C77+'PJ PARKING RASHOD'!C76+'PJ-ZS-rashod-ok'!C76</f>
        <v>35500</v>
      </c>
      <c r="D201" s="319">
        <f t="shared" si="10"/>
        <v>0.24648617792895258</v>
      </c>
      <c r="E201" s="457">
        <f>'PJ-čistoća-rashod-ok'!E78+'PJ-PiJP-rashod-ok'!E76+'PJ-GiPU-rashod-ok'!E77+'PJ PARKING RASHOD'!E76+'PJ-ZS-rashod-ok'!E76</f>
        <v>32500</v>
      </c>
      <c r="F201" s="319">
        <f t="shared" si="11"/>
        <v>0.18696041861791438</v>
      </c>
      <c r="G201" s="387">
        <f t="shared" si="12"/>
        <v>91.54929577464789</v>
      </c>
    </row>
    <row r="202" spans="1:7" ht="12.75">
      <c r="A202" s="414" t="s">
        <v>262</v>
      </c>
      <c r="B202" s="79"/>
      <c r="C202" s="504">
        <f>'PJ-čistoća-rashod-ok'!C79+'PJ-PiJP-rashod-ok'!C77+'PJ-GiPU-rashod-ok'!C78+'PJ PARKING RASHOD'!C77+'PJ-ZS-rashod-ok'!C77</f>
        <v>9000</v>
      </c>
      <c r="D202" s="319">
        <f t="shared" si="10"/>
        <v>0.06248945355945277</v>
      </c>
      <c r="E202" s="457">
        <f>'PJ-čistoća-rashod-ok'!E79+'PJ-PiJP-rashod-ok'!E77+'PJ-GiPU-rashod-ok'!E78+'PJ PARKING RASHOD'!E77+'PJ-ZS-rashod-ok'!E77</f>
        <v>9000</v>
      </c>
      <c r="F202" s="319">
        <f t="shared" si="11"/>
        <v>0.05177365438649936</v>
      </c>
      <c r="G202" s="387">
        <f t="shared" si="12"/>
        <v>100</v>
      </c>
    </row>
    <row r="203" spans="1:7" ht="12.75">
      <c r="A203" s="414" t="s">
        <v>263</v>
      </c>
      <c r="B203" s="79"/>
      <c r="C203" s="504">
        <f>'PJ-čistoća-rashod-ok'!C80+'PJ-PiJP-rashod-ok'!C78+'PJ-GiPU-rashod-ok'!C79+'PJ PARKING RASHOD'!C78+'PJ-ZS-rashod-ok'!C78</f>
        <v>115000</v>
      </c>
      <c r="D203" s="319">
        <f t="shared" si="10"/>
        <v>0.7984763510374521</v>
      </c>
      <c r="E203" s="457">
        <f>'PJ-čistoća-rashod-ok'!E80+'PJ-PiJP-rashod-ok'!E78+'PJ-GiPU-rashod-ok'!E79+'PJ PARKING RASHOD'!E78+'PJ-ZS-rashod-ok'!E78</f>
        <v>115000</v>
      </c>
      <c r="F203" s="319">
        <f t="shared" si="11"/>
        <v>0.6615522504941586</v>
      </c>
      <c r="G203" s="387">
        <f t="shared" si="12"/>
        <v>100</v>
      </c>
    </row>
    <row r="204" spans="1:7" ht="12.75">
      <c r="A204" s="414" t="s">
        <v>264</v>
      </c>
      <c r="B204" s="79"/>
      <c r="C204" s="504">
        <f>'PJ-čistoća-rashod-ok'!C81+'PJ-PiJP-rashod-ok'!C79+'PJ-GiPU-rashod-ok'!C80+'PJ PARKING RASHOD'!C79+'PJ-ZS-rashod-ok'!C79</f>
        <v>80000</v>
      </c>
      <c r="D204" s="319">
        <f t="shared" si="10"/>
        <v>0.5554618094173579</v>
      </c>
      <c r="E204" s="457">
        <f>'PJ-čistoća-rashod-ok'!E81+'PJ-PiJP-rashod-ok'!E79+'PJ-GiPU-rashod-ok'!E80+'PJ PARKING RASHOD'!E79+'PJ-ZS-rashod-ok'!E79</f>
        <v>80000</v>
      </c>
      <c r="F204" s="319">
        <f t="shared" si="11"/>
        <v>0.46021026121332764</v>
      </c>
      <c r="G204" s="387">
        <f t="shared" si="12"/>
        <v>100</v>
      </c>
    </row>
    <row r="205" spans="1:7" ht="12.75">
      <c r="A205" s="414" t="s">
        <v>265</v>
      </c>
      <c r="B205" s="79"/>
      <c r="C205" s="504">
        <f>'PJ-čistoća-rashod-ok'!C82+'PJ-PiJP-rashod-ok'!C80+'PJ-GiPU-rashod-ok'!C81+'PJ PARKING RASHOD'!C80+'PJ-ZS-rashod-ok'!C80</f>
        <v>150000</v>
      </c>
      <c r="D205" s="319">
        <f t="shared" si="10"/>
        <v>1.0414908926575461</v>
      </c>
      <c r="E205" s="457">
        <f>'PJ-čistoća-rashod-ok'!E82+'PJ-PiJP-rashod-ok'!E80+'PJ-GiPU-rashod-ok'!E81+'PJ PARKING RASHOD'!E80+'PJ-ZS-rashod-ok'!E80</f>
        <v>349000</v>
      </c>
      <c r="F205" s="319">
        <f t="shared" si="11"/>
        <v>2.007667264543142</v>
      </c>
      <c r="G205" s="387">
        <f t="shared" si="12"/>
        <v>232.66666666666666</v>
      </c>
    </row>
    <row r="206" spans="1:7" ht="12.75">
      <c r="A206" s="414" t="s">
        <v>266</v>
      </c>
      <c r="B206" s="79"/>
      <c r="C206" s="504">
        <f>'PJ-čistoća-rashod-ok'!C83+'PJ-PiJP-rashod-ok'!C81+'PJ-GiPU-rashod-ok'!C82+'PJ PARKING RASHOD'!C81+'PJ-ZS-rashod-ok'!C81</f>
        <v>200000</v>
      </c>
      <c r="D206" s="319">
        <f t="shared" si="10"/>
        <v>1.388654523543395</v>
      </c>
      <c r="E206" s="457">
        <f>'PJ-čistoća-rashod-ok'!E83+'PJ-PiJP-rashod-ok'!E81+'PJ-GiPU-rashod-ok'!E82+'PJ PARKING RASHOD'!E81+'PJ-ZS-rashod-ok'!E81</f>
        <v>200000</v>
      </c>
      <c r="F206" s="319">
        <f t="shared" si="11"/>
        <v>1.1505256530333192</v>
      </c>
      <c r="G206" s="387">
        <f t="shared" si="12"/>
        <v>100</v>
      </c>
    </row>
    <row r="207" spans="1:7" ht="12.75">
      <c r="A207" s="414" t="s">
        <v>267</v>
      </c>
      <c r="B207" s="79"/>
      <c r="C207" s="504">
        <f>'PJ-čistoća-rashod-ok'!C84+'PJ-PiJP-rashod-ok'!C82+'PJ-GiPU-rashod-ok'!C83+'PJ PARKING RASHOD'!C82+'PJ-ZS-rashod-ok'!C82</f>
        <v>27000</v>
      </c>
      <c r="D207" s="319">
        <f t="shared" si="10"/>
        <v>0.18746836067835831</v>
      </c>
      <c r="E207" s="457">
        <f>'PJ-čistoća-rashod-ok'!E84+'PJ-PiJP-rashod-ok'!E82+'PJ-GiPU-rashod-ok'!E83+'PJ PARKING RASHOD'!E82+'PJ-ZS-rashod-ok'!E82</f>
        <v>27000</v>
      </c>
      <c r="F207" s="319">
        <f t="shared" si="11"/>
        <v>0.15532096315949812</v>
      </c>
      <c r="G207" s="387">
        <f t="shared" si="12"/>
        <v>100</v>
      </c>
    </row>
    <row r="208" spans="1:7" ht="12.75">
      <c r="A208" s="414" t="s">
        <v>268</v>
      </c>
      <c r="B208" s="79"/>
      <c r="C208" s="504">
        <f>'PJ-čistoća-rashod-ok'!C85+'PJ-PiJP-rashod-ok'!C83+'PJ-GiPU-rashod-ok'!C84+'PJ PARKING RASHOD'!C83+'PJ-ZS-rashod-ok'!C83</f>
        <v>71500</v>
      </c>
      <c r="D208" s="319">
        <f t="shared" si="10"/>
        <v>0.49644399216676366</v>
      </c>
      <c r="E208" s="457">
        <f>'PJ-čistoća-rashod-ok'!E85+'PJ-PiJP-rashod-ok'!E83+'PJ-GiPU-rashod-ok'!E84+'PJ PARKING RASHOD'!E83+'PJ-ZS-rashod-ok'!E83</f>
        <v>81500</v>
      </c>
      <c r="F208" s="319">
        <f t="shared" si="11"/>
        <v>0.46883920361107756</v>
      </c>
      <c r="G208" s="387">
        <f t="shared" si="12"/>
        <v>113.98601398601397</v>
      </c>
    </row>
    <row r="209" spans="1:7" ht="12.75">
      <c r="A209" s="414" t="s">
        <v>269</v>
      </c>
      <c r="B209" s="312"/>
      <c r="C209" s="504">
        <f>'PJ-čistoća-rashod-ok'!C86+'PJ-PiJP-rashod-ok'!C84+'PJ-GiPU-rashod-ok'!C85+'PJ PARKING RASHOD'!C84+'PJ-ZS-rashod-ok'!C84</f>
        <v>0</v>
      </c>
      <c r="D209" s="319">
        <f t="shared" si="10"/>
        <v>0</v>
      </c>
      <c r="E209" s="457">
        <f>'PJ-čistoća-rashod-ok'!E86+'PJ-PiJP-rashod-ok'!E84+'PJ-GiPU-rashod-ok'!E85+'PJ PARKING RASHOD'!E84+'PJ-ZS-rashod-ok'!E84</f>
        <v>0</v>
      </c>
      <c r="F209" s="319">
        <f t="shared" si="11"/>
        <v>0</v>
      </c>
      <c r="G209" s="387" t="e">
        <f t="shared" si="12"/>
        <v>#DIV/0!</v>
      </c>
    </row>
    <row r="210" spans="1:7" ht="12.75">
      <c r="A210" s="414" t="s">
        <v>270</v>
      </c>
      <c r="B210" s="312"/>
      <c r="C210" s="504">
        <f>'PJ-čistoća-rashod-ok'!C87+'PJ-PiJP-rashod-ok'!C85+'PJ-GiPU-rashod-ok'!C86+'PJ PARKING RASHOD'!C85+'PJ-ZS-rashod-ok'!C85</f>
        <v>0</v>
      </c>
      <c r="D210" s="319">
        <f t="shared" si="10"/>
        <v>0</v>
      </c>
      <c r="E210" s="457">
        <f>'PJ-čistoća-rashod-ok'!E87+'PJ-PiJP-rashod-ok'!E85+'PJ-GiPU-rashod-ok'!E86+'PJ PARKING RASHOD'!E85+'PJ-ZS-rashod-ok'!E85</f>
        <v>0</v>
      </c>
      <c r="F210" s="319">
        <f t="shared" si="11"/>
        <v>0</v>
      </c>
      <c r="G210" s="387" t="e">
        <f t="shared" si="12"/>
        <v>#DIV/0!</v>
      </c>
    </row>
    <row r="211" spans="1:7" ht="12.75">
      <c r="A211" s="414" t="s">
        <v>271</v>
      </c>
      <c r="B211" s="312"/>
      <c r="C211" s="504">
        <f>'PJ-čistoća-rashod-ok'!C88+'PJ-PiJP-rashod-ok'!C86+'PJ-GiPU-rashod-ok'!C87+'PJ PARKING RASHOD'!C86+'PJ-ZS-rashod-ok'!C86</f>
        <v>0</v>
      </c>
      <c r="D211" s="319">
        <f t="shared" si="10"/>
        <v>0</v>
      </c>
      <c r="E211" s="457">
        <f>'PJ-čistoća-rashod-ok'!E88+'PJ-PiJP-rashod-ok'!E86+'PJ-GiPU-rashod-ok'!E87+'PJ PARKING RASHOD'!E86+'PJ-ZS-rashod-ok'!E86</f>
        <v>0</v>
      </c>
      <c r="F211" s="319">
        <f t="shared" si="11"/>
        <v>0</v>
      </c>
      <c r="G211" s="387" t="e">
        <f t="shared" si="12"/>
        <v>#DIV/0!</v>
      </c>
    </row>
    <row r="212" spans="1:7" ht="13.5" thickBot="1">
      <c r="A212" s="414" t="s">
        <v>272</v>
      </c>
      <c r="B212" s="312"/>
      <c r="C212" s="505">
        <f>'PJ-čistoća-rashod-ok'!C89+'PJ-PiJP-rashod-ok'!C87+'PJ-GiPU-rashod-ok'!C88+'PJ PARKING RASHOD'!C87+'PJ-ZS-rashod-ok'!C87</f>
        <v>309600</v>
      </c>
      <c r="D212" s="390">
        <f t="shared" si="10"/>
        <v>2.149637202445175</v>
      </c>
      <c r="E212" s="507">
        <f>'PJ-čistoća-rashod-ok'!E89+'PJ-PiJP-rashod-ok'!E87+'PJ-GiPU-rashod-ok'!E88+'PJ PARKING RASHOD'!E87+'PJ-ZS-rashod-ok'!E87</f>
        <v>100000</v>
      </c>
      <c r="F212" s="390">
        <f t="shared" si="11"/>
        <v>0.5752628265166596</v>
      </c>
      <c r="G212" s="388">
        <f t="shared" si="12"/>
        <v>32.299741602067186</v>
      </c>
    </row>
    <row r="213" spans="1:7" ht="13.5" thickBot="1">
      <c r="A213" s="161"/>
      <c r="B213" s="161"/>
      <c r="C213" s="457"/>
      <c r="D213" s="457"/>
      <c r="E213" s="457"/>
      <c r="F213" s="457"/>
      <c r="G213" s="321"/>
    </row>
    <row r="214" spans="1:7" ht="13.5" thickBot="1">
      <c r="A214" s="302">
        <v>41</v>
      </c>
      <c r="B214" s="316" t="s">
        <v>74</v>
      </c>
      <c r="C214" s="458">
        <f>'PJ-čistoća-rashod-ok'!C91+'PJ-PiJP-rashod-ok'!C89+'PJ-GiPU-rashod-ok'!C90+'PJ PARKING RASHOD'!C89+'PJ-ZS-rashod-ok'!C89</f>
        <v>3551600</v>
      </c>
      <c r="D214" s="317">
        <f>$C214/$C$305*100</f>
        <v>24.659727029083605</v>
      </c>
      <c r="E214" s="458">
        <f>'PJ-čistoća-rashod-ok'!E91+'PJ-PiJP-rashod-ok'!E89+'PJ-GiPU-rashod-ok'!E90+'PJ PARKING RASHOD'!E89+'PJ-ZS-rashod-ok'!E89</f>
        <v>3331241.2800000003</v>
      </c>
      <c r="F214" s="317">
        <f>$E214/$E$305*100</f>
        <v>19.163392745417752</v>
      </c>
      <c r="G214" s="389">
        <f>E214/C214*100</f>
        <v>93.79550850320982</v>
      </c>
    </row>
    <row r="215" spans="1:7" ht="13.5" thickBot="1">
      <c r="A215" s="161"/>
      <c r="B215" s="161"/>
      <c r="C215" s="182"/>
      <c r="D215" s="187"/>
      <c r="E215" s="182"/>
      <c r="F215" s="187"/>
      <c r="G215" s="313"/>
    </row>
    <row r="216" spans="1:7" ht="13.5" thickBot="1">
      <c r="A216" s="302">
        <v>42</v>
      </c>
      <c r="B216" s="316" t="s">
        <v>19</v>
      </c>
      <c r="C216" s="508">
        <f>'PJ-čistoća-rashod-ok'!C93+'PJ-PiJP-rashod-ok'!C91+'PJ-GiPU-rashod-ok'!C92+'PJ PARKING RASHOD'!C91+'PJ-ZS-rashod-ok'!C91</f>
        <v>5373213.3100000005</v>
      </c>
      <c r="D216" s="317">
        <f>$C216/$C$305*100</f>
        <v>37.30768484447539</v>
      </c>
      <c r="E216" s="509">
        <f>'PJ-čistoća-rashod-ok'!E93+'PJ-PiJP-rashod-ok'!E91+'PJ-GiPU-rashod-ok'!E92+'PJ PARKING RASHOD'!E91+'PJ-ZS-rashod-ok'!E91</f>
        <v>5814500.3155000005</v>
      </c>
      <c r="F216" s="317">
        <f>$E216/$E$305*100</f>
        <v>33.4486588627654</v>
      </c>
      <c r="G216" s="389">
        <f aca="true" t="shared" si="13" ref="G216:G227">E216/C216*100</f>
        <v>108.2127207695017</v>
      </c>
    </row>
    <row r="217" spans="1:7" ht="12.75">
      <c r="A217" s="414" t="s">
        <v>273</v>
      </c>
      <c r="B217" s="316"/>
      <c r="C217" s="504">
        <f>'PJ-čistoća-rashod-ok'!C94+'PJ-PiJP-rashod-ok'!C92+'PJ-GiPU-rashod-ok'!C93+'PJ PARKING RASHOD'!C92+'PJ-ZS-rashod-ok'!C92</f>
        <v>3584050.37</v>
      </c>
      <c r="D217" s="319">
        <f aca="true" t="shared" si="14" ref="D217:D227">$C217/$C$305*100</f>
        <v>24.88503879453939</v>
      </c>
      <c r="E217" s="457">
        <f>'PJ-čistoća-rashod-ok'!E94+'PJ-PiJP-rashod-ok'!E92+'PJ-GiPU-rashod-ok'!E93+'PJ PARKING RASHOD'!E92+'PJ-ZS-rashod-ok'!E92</f>
        <v>3910374.162900001</v>
      </c>
      <c r="F217" s="319">
        <f aca="true" t="shared" si="15" ref="F217:F227">$E217/$E$305*100</f>
        <v>22.494928936875713</v>
      </c>
      <c r="G217" s="387">
        <f t="shared" si="13"/>
        <v>109.10488858168588</v>
      </c>
    </row>
    <row r="218" spans="1:7" ht="12.75">
      <c r="A218" s="414" t="s">
        <v>274</v>
      </c>
      <c r="B218" s="316"/>
      <c r="C218" s="504">
        <f>'PJ-čistoća-rashod-ok'!C95+'PJ-PiJP-rashod-ok'!C93+'PJ-GiPU-rashod-ok'!C94+'PJ PARKING RASHOD'!C93+'PJ-ZS-rashod-ok'!C93</f>
        <v>297973.6</v>
      </c>
      <c r="D218" s="319">
        <f t="shared" si="14"/>
        <v>2.06891193768255</v>
      </c>
      <c r="E218" s="457">
        <f>'PJ-čistoća-rashod-ok'!E95+'PJ-PiJP-rashod-ok'!E93+'PJ-GiPU-rashod-ok'!E94+'PJ PARKING RASHOD'!E93+'PJ-ZS-rashod-ok'!E93</f>
        <v>317611.1131</v>
      </c>
      <c r="F218" s="319">
        <f t="shared" si="15"/>
        <v>1.8270986665500846</v>
      </c>
      <c r="G218" s="387">
        <f t="shared" si="13"/>
        <v>106.59035334002745</v>
      </c>
    </row>
    <row r="219" spans="1:7" ht="12.75">
      <c r="A219" s="414" t="s">
        <v>275</v>
      </c>
      <c r="B219" s="316"/>
      <c r="C219" s="504">
        <f>'PJ-čistoća-rashod-ok'!C96+'PJ-PiJP-rashod-ok'!C94+'PJ-GiPU-rashod-ok'!C95+'PJ PARKING RASHOD'!C94+'PJ-ZS-rashod-ok'!C94</f>
        <v>0</v>
      </c>
      <c r="D219" s="319">
        <f t="shared" si="14"/>
        <v>0</v>
      </c>
      <c r="E219" s="457">
        <f>'PJ-čistoća-rashod-ok'!E96+'PJ-PiJP-rashod-ok'!E94+'PJ-GiPU-rashod-ok'!E95+'PJ PARKING RASHOD'!E94+'PJ-ZS-rashod-ok'!E94</f>
        <v>0</v>
      </c>
      <c r="F219" s="319">
        <f t="shared" si="15"/>
        <v>0</v>
      </c>
      <c r="G219" s="387" t="e">
        <f t="shared" si="13"/>
        <v>#DIV/0!</v>
      </c>
    </row>
    <row r="220" spans="1:7" ht="12.75">
      <c r="A220" s="414" t="s">
        <v>276</v>
      </c>
      <c r="B220" s="316"/>
      <c r="C220" s="504">
        <f>'PJ-čistoća-rashod-ok'!C97+'PJ-PiJP-rashod-ok'!C95+'PJ-GiPU-rashod-ok'!C96+'PJ PARKING RASHOD'!C95+'PJ-ZS-rashod-ok'!C95</f>
        <v>798387.5</v>
      </c>
      <c r="D220" s="319">
        <f t="shared" si="14"/>
        <v>5.543422067077511</v>
      </c>
      <c r="E220" s="457">
        <f>'PJ-čistoća-rashod-ok'!E97+'PJ-PiJP-rashod-ok'!E95+'PJ-GiPU-rashod-ok'!E96+'PJ PARKING RASHOD'!E95+'PJ-ZS-rashod-ok'!E95</f>
        <v>850657.5733</v>
      </c>
      <c r="F220" s="319">
        <f t="shared" si="15"/>
        <v>4.8935168001436065</v>
      </c>
      <c r="G220" s="387">
        <f t="shared" si="13"/>
        <v>106.5469553694165</v>
      </c>
    </row>
    <row r="221" spans="1:7" ht="12.75">
      <c r="A221" s="414" t="s">
        <v>277</v>
      </c>
      <c r="B221" s="316"/>
      <c r="C221" s="504">
        <f>'PJ-čistoća-rashod-ok'!C98+'PJ-PiJP-rashod-ok'!C96+'PJ-GiPU-rashod-ok'!C97+'PJ PARKING RASHOD'!C96+'PJ-ZS-rashod-ok'!C96</f>
        <v>0</v>
      </c>
      <c r="D221" s="319">
        <f t="shared" si="14"/>
        <v>0</v>
      </c>
      <c r="E221" s="457">
        <f>'PJ-čistoća-rashod-ok'!E98+'PJ-PiJP-rashod-ok'!E96+'PJ-GiPU-rashod-ok'!E97+'PJ PARKING RASHOD'!E96+'PJ-ZS-rashod-ok'!E96</f>
        <v>0</v>
      </c>
      <c r="F221" s="319">
        <f t="shared" si="15"/>
        <v>0</v>
      </c>
      <c r="G221" s="387" t="e">
        <f t="shared" si="13"/>
        <v>#DIV/0!</v>
      </c>
    </row>
    <row r="222" spans="1:7" ht="12.75">
      <c r="A222" s="415" t="s">
        <v>278</v>
      </c>
      <c r="B222" s="192"/>
      <c r="C222" s="504">
        <f>'PJ-čistoća-rashod-ok'!C99+'PJ-PiJP-rashod-ok'!C97+'PJ-GiPU-rashod-ok'!C98+'PJ PARKING RASHOD'!C97+'PJ-ZS-rashod-ok'!C97</f>
        <v>0</v>
      </c>
      <c r="D222" s="319">
        <f t="shared" si="14"/>
        <v>0</v>
      </c>
      <c r="E222" s="457">
        <f>'PJ-čistoća-rashod-ok'!E99+'PJ-PiJP-rashod-ok'!E97+'PJ-GiPU-rashod-ok'!E98+'PJ PARKING RASHOD'!E97+'PJ-ZS-rashod-ok'!E97</f>
        <v>0</v>
      </c>
      <c r="F222" s="319">
        <f t="shared" si="15"/>
        <v>0</v>
      </c>
      <c r="G222" s="387" t="e">
        <f t="shared" si="13"/>
        <v>#DIV/0!</v>
      </c>
    </row>
    <row r="223" spans="1:7" ht="12.75">
      <c r="A223" s="414" t="s">
        <v>279</v>
      </c>
      <c r="B223" s="192"/>
      <c r="C223" s="504">
        <f>'PJ-čistoća-rashod-ok'!C100+'PJ-PiJP-rashod-ok'!C98+'PJ-GiPU-rashod-ok'!C99+'PJ PARKING RASHOD'!C98+'PJ-ZS-rashod-ok'!C98</f>
        <v>0</v>
      </c>
      <c r="D223" s="319">
        <f t="shared" si="14"/>
        <v>0</v>
      </c>
      <c r="E223" s="457">
        <f>'PJ-čistoća-rashod-ok'!E100+'PJ-PiJP-rashod-ok'!E98+'PJ-GiPU-rashod-ok'!E99+'PJ PARKING RASHOD'!E98+'PJ-ZS-rashod-ok'!E98</f>
        <v>0</v>
      </c>
      <c r="F223" s="319">
        <f t="shared" si="15"/>
        <v>0</v>
      </c>
      <c r="G223" s="387" t="e">
        <f t="shared" si="13"/>
        <v>#DIV/0!</v>
      </c>
    </row>
    <row r="224" spans="1:7" ht="12.75">
      <c r="A224" s="414" t="s">
        <v>280</v>
      </c>
      <c r="B224" s="192"/>
      <c r="C224" s="504">
        <f>'PJ-čistoća-rashod-ok'!C101+'PJ-PiJP-rashod-ok'!C99+'PJ-GiPU-rashod-ok'!C100+'PJ PARKING RASHOD'!C99+'PJ-ZS-rashod-ok'!C99</f>
        <v>0</v>
      </c>
      <c r="D224" s="319">
        <f t="shared" si="14"/>
        <v>0</v>
      </c>
      <c r="E224" s="457">
        <f>'PJ-čistoća-rashod-ok'!E101+'PJ-PiJP-rashod-ok'!E99+'PJ-GiPU-rashod-ok'!E100+'PJ PARKING RASHOD'!E99+'PJ-ZS-rashod-ok'!E99</f>
        <v>0</v>
      </c>
      <c r="F224" s="319">
        <f t="shared" si="15"/>
        <v>0</v>
      </c>
      <c r="G224" s="387" t="e">
        <f t="shared" si="13"/>
        <v>#DIV/0!</v>
      </c>
    </row>
    <row r="225" spans="1:7" ht="12.75">
      <c r="A225" s="414" t="s">
        <v>281</v>
      </c>
      <c r="B225" s="192"/>
      <c r="C225" s="504">
        <f>'PJ-čistoća-rashod-ok'!C102+'PJ-PiJP-rashod-ok'!C100+'PJ-GiPU-rashod-ok'!C101+'PJ PARKING RASHOD'!C100+'PJ-ZS-rashod-ok'!C100</f>
        <v>692801.8400000001</v>
      </c>
      <c r="D225" s="319">
        <f t="shared" si="14"/>
        <v>4.810312045175937</v>
      </c>
      <c r="E225" s="457">
        <f>'PJ-čistoća-rashod-ok'!E102+'PJ-PiJP-rashod-ok'!E100+'PJ-GiPU-rashod-ok'!E101+'PJ PARKING RASHOD'!E100+'PJ-ZS-rashod-ok'!E100</f>
        <v>735857.4662</v>
      </c>
      <c r="F225" s="319">
        <f t="shared" si="15"/>
        <v>4.233114459195994</v>
      </c>
      <c r="G225" s="387">
        <f t="shared" si="13"/>
        <v>106.21471013991533</v>
      </c>
    </row>
    <row r="226" spans="1:7" ht="12.75">
      <c r="A226" s="414" t="s">
        <v>282</v>
      </c>
      <c r="B226" s="192"/>
      <c r="C226" s="504">
        <f>'PJ-čistoća-rashod-ok'!C103+'PJ-PiJP-rashod-ok'!C101+'PJ-GiPU-rashod-ok'!C102+'PJ PARKING RASHOD'!C101+'PJ-ZS-rashod-ok'!C101</f>
        <v>0</v>
      </c>
      <c r="D226" s="319">
        <f t="shared" si="14"/>
        <v>0</v>
      </c>
      <c r="E226" s="457">
        <f>'PJ-čistoća-rashod-ok'!E103+'PJ-PiJP-rashod-ok'!E101+'PJ-GiPU-rashod-ok'!E102+'PJ PARKING RASHOD'!E101+'PJ-ZS-rashod-ok'!E101</f>
        <v>0</v>
      </c>
      <c r="F226" s="319">
        <f t="shared" si="15"/>
        <v>0</v>
      </c>
      <c r="G226" s="387" t="e">
        <f t="shared" si="13"/>
        <v>#DIV/0!</v>
      </c>
    </row>
    <row r="227" spans="1:7" ht="13.5" thickBot="1">
      <c r="A227" s="414" t="s">
        <v>283</v>
      </c>
      <c r="B227" s="192"/>
      <c r="C227" s="505">
        <f>'PJ-čistoća-rashod-ok'!C104+'PJ-PiJP-rashod-ok'!C102+'PJ-GiPU-rashod-ok'!C103+'PJ PARKING RASHOD'!C102+'PJ-ZS-rashod-ok'!C102</f>
        <v>0</v>
      </c>
      <c r="D227" s="390">
        <f t="shared" si="14"/>
        <v>0</v>
      </c>
      <c r="E227" s="507">
        <f>'PJ-čistoća-rashod-ok'!E104+'PJ-PiJP-rashod-ok'!E102+'PJ-GiPU-rashod-ok'!E103+'PJ PARKING RASHOD'!E102+'PJ-ZS-rashod-ok'!E102</f>
        <v>0</v>
      </c>
      <c r="F227" s="390">
        <f t="shared" si="15"/>
        <v>0</v>
      </c>
      <c r="G227" s="388" t="e">
        <f t="shared" si="13"/>
        <v>#DIV/0!</v>
      </c>
    </row>
    <row r="228" spans="1:7" ht="13.5" thickBot="1">
      <c r="A228" s="79"/>
      <c r="B228" s="192"/>
      <c r="C228" s="323"/>
      <c r="D228" s="187"/>
      <c r="E228" s="323"/>
      <c r="F228" s="187"/>
      <c r="G228" s="313"/>
    </row>
    <row r="229" spans="1:7" ht="13.5" thickBot="1">
      <c r="A229" s="302">
        <v>43</v>
      </c>
      <c r="B229" s="316" t="s">
        <v>20</v>
      </c>
      <c r="C229" s="458">
        <f>'PJ-čistoća-rashod-ok'!C106+'PJ-PiJP-rashod-ok'!C104+'PJ-GiPU-rashod-ok'!C105+'PJ PARKING RASHOD'!C104+'PJ-ZS-rashod-ok'!C104</f>
        <v>1085000</v>
      </c>
      <c r="D229" s="317">
        <f>$C229/$C$305*100</f>
        <v>7.5334507902229175</v>
      </c>
      <c r="E229" s="458">
        <f>'PJ-čistoća-rashod-ok'!E106+'PJ-PiJP-rashod-ok'!E104+'PJ-GiPU-rashod-ok'!E105+'PJ PARKING RASHOD'!E104+'PJ-ZS-rashod-ok'!E104</f>
        <v>1140000</v>
      </c>
      <c r="F229" s="317">
        <f>$E229/$E$305*100</f>
        <v>6.557996222289919</v>
      </c>
      <c r="G229" s="389">
        <f>E229/C229*100</f>
        <v>105.06912442396312</v>
      </c>
    </row>
    <row r="230" spans="1:7" ht="13.5" thickBot="1">
      <c r="A230" s="302"/>
      <c r="B230" s="302"/>
      <c r="C230" s="181"/>
      <c r="D230" s="187"/>
      <c r="E230" s="181"/>
      <c r="F230" s="187"/>
      <c r="G230" s="313"/>
    </row>
    <row r="231" spans="1:7" ht="13.5" thickBot="1">
      <c r="A231" s="302">
        <v>4450</v>
      </c>
      <c r="B231" s="302" t="s">
        <v>77</v>
      </c>
      <c r="C231" s="458">
        <f>'PJ-čistoća-rashod-ok'!C108+'PJ-PiJP-rashod-ok'!C106+'PJ-GiPU-rashod-ok'!C107+'PJ PARKING RASHOD'!C106+'PJ-ZS-rashod-ok'!C106</f>
        <v>200000</v>
      </c>
      <c r="D231" s="317">
        <f>$C231/$C$305*100</f>
        <v>1.388654523543395</v>
      </c>
      <c r="E231" s="458">
        <f>'PJ-čistoća-rashod-ok'!E108+'PJ-PiJP-rashod-ok'!E106+'PJ-GiPU-rashod-ok'!E107+'PJ PARKING RASHOD'!E106+'PJ-ZS-rashod-ok'!E106</f>
        <v>200000</v>
      </c>
      <c r="F231" s="317">
        <f>$E231/$E$305*100</f>
        <v>1.1505256530333192</v>
      </c>
      <c r="G231" s="389">
        <f>E231/C231*100</f>
        <v>100</v>
      </c>
    </row>
    <row r="232" spans="1:7" ht="13.5" thickBot="1">
      <c r="A232" s="79"/>
      <c r="B232" s="79"/>
      <c r="C232" s="416"/>
      <c r="D232" s="416"/>
      <c r="E232" s="416"/>
      <c r="F232" s="416"/>
      <c r="G232" s="416"/>
    </row>
    <row r="233" spans="1:7" ht="12.75">
      <c r="A233" s="414" t="s">
        <v>284</v>
      </c>
      <c r="B233" s="79"/>
      <c r="C233" s="503">
        <f>'PJ-čistoća-rashod-ok'!C110+'PJ-PiJP-rashod-ok'!C108+'PJ-GiPU-rashod-ok'!C109+'PJ PARKING RASHOD'!C108+'PJ-ZS-rashod-ok'!C108</f>
        <v>17000</v>
      </c>
      <c r="D233" s="433">
        <f aca="true" t="shared" si="16" ref="D233:D246">$C233/$C$305*100</f>
        <v>0.11803563450118856</v>
      </c>
      <c r="E233" s="506">
        <f>'PJ-čistoća-rashod-ok'!E110+'PJ-PiJP-rashod-ok'!E108+'PJ-GiPU-rashod-ok'!E109+'PJ PARKING RASHOD'!E108+'PJ-ZS-rashod-ok'!E108</f>
        <v>17000</v>
      </c>
      <c r="F233" s="433">
        <f aca="true" t="shared" si="17" ref="F233:F246">$E233/$E$305*100</f>
        <v>0.09779468050783215</v>
      </c>
      <c r="G233" s="386">
        <f aca="true" t="shared" si="18" ref="G233:G246">E233/C233*100</f>
        <v>100</v>
      </c>
    </row>
    <row r="234" spans="1:7" ht="12.75">
      <c r="A234" s="414" t="s">
        <v>285</v>
      </c>
      <c r="B234" s="79"/>
      <c r="C234" s="504">
        <f>'PJ-čistoća-rashod-ok'!C111+'PJ-PiJP-rashod-ok'!C109+'PJ-GiPU-rashod-ok'!C110+'PJ PARKING RASHOD'!C109+'PJ-ZS-rashod-ok'!C109</f>
        <v>4000</v>
      </c>
      <c r="D234" s="319">
        <f t="shared" si="16"/>
        <v>0.027773090470867897</v>
      </c>
      <c r="E234" s="457">
        <f>'PJ-čistoća-rashod-ok'!E111+'PJ-PiJP-rashod-ok'!E109+'PJ-GiPU-rashod-ok'!E110+'PJ PARKING RASHOD'!E109+'PJ-ZS-rashod-ok'!E109</f>
        <v>4000</v>
      </c>
      <c r="F234" s="319">
        <f t="shared" si="17"/>
        <v>0.023010513060666385</v>
      </c>
      <c r="G234" s="387">
        <f t="shared" si="18"/>
        <v>100</v>
      </c>
    </row>
    <row r="235" spans="1:7" ht="12.75">
      <c r="A235" s="414" t="s">
        <v>286</v>
      </c>
      <c r="B235" s="323"/>
      <c r="C235" s="504">
        <f>'PJ-čistoća-rashod-ok'!C112+'PJ-PiJP-rashod-ok'!C110+'PJ-GiPU-rashod-ok'!C111+'PJ PARKING RASHOD'!C110+'PJ-ZS-rashod-ok'!C110</f>
        <v>5700</v>
      </c>
      <c r="D235" s="319">
        <f t="shared" si="16"/>
        <v>0.039576653920986755</v>
      </c>
      <c r="E235" s="457">
        <f>'PJ-čistoća-rashod-ok'!E112+'PJ-PiJP-rashod-ok'!E110+'PJ-GiPU-rashod-ok'!E111+'PJ PARKING RASHOD'!E110+'PJ-ZS-rashod-ok'!E110</f>
        <v>5700</v>
      </c>
      <c r="F235" s="319">
        <f t="shared" si="17"/>
        <v>0.032789981111449595</v>
      </c>
      <c r="G235" s="387">
        <f t="shared" si="18"/>
        <v>100</v>
      </c>
    </row>
    <row r="236" spans="1:7" ht="12.75">
      <c r="A236" s="414" t="s">
        <v>287</v>
      </c>
      <c r="B236" s="79"/>
      <c r="C236" s="504">
        <f>'PJ-čistoća-rashod-ok'!C113+'PJ-PiJP-rashod-ok'!C111+'PJ-GiPU-rashod-ok'!C112+'PJ PARKING RASHOD'!C111+'PJ-ZS-rashod-ok'!C111</f>
        <v>150600</v>
      </c>
      <c r="D236" s="319">
        <f t="shared" si="16"/>
        <v>1.0456568562281765</v>
      </c>
      <c r="E236" s="457">
        <f>'PJ-čistoća-rashod-ok'!E113+'PJ-PiJP-rashod-ok'!E111+'PJ-GiPU-rashod-ok'!E112+'PJ PARKING RASHOD'!E111+'PJ-ZS-rashod-ok'!E111</f>
        <v>150600</v>
      </c>
      <c r="F236" s="319">
        <f t="shared" si="17"/>
        <v>0.8663458167340894</v>
      </c>
      <c r="G236" s="387">
        <f t="shared" si="18"/>
        <v>100</v>
      </c>
    </row>
    <row r="237" spans="1:7" ht="12.75">
      <c r="A237" s="441">
        <v>461400</v>
      </c>
      <c r="B237" s="323" t="s">
        <v>97</v>
      </c>
      <c r="C237" s="504">
        <f>'PJ-čistoća-rashod-ok'!C114+'PJ-PiJP-rashod-ok'!C112+'PJ-GiPU-rashod-ok'!C113+'PJ PARKING RASHOD'!C112+'PJ-ZS-rashod-ok'!C112</f>
        <v>203000</v>
      </c>
      <c r="D237" s="319">
        <f t="shared" si="16"/>
        <v>1.4094843413965459</v>
      </c>
      <c r="E237" s="457">
        <f>'PJ-čistoća-rashod-ok'!E114+'PJ-PiJP-rashod-ok'!E112+'PJ-GiPU-rashod-ok'!E113+'PJ PARKING RASHOD'!E112+'PJ-ZS-rashod-ok'!E112</f>
        <v>183000</v>
      </c>
      <c r="F237" s="319">
        <f t="shared" si="17"/>
        <v>1.052730972525487</v>
      </c>
      <c r="G237" s="387">
        <f t="shared" si="18"/>
        <v>90.14778325123153</v>
      </c>
    </row>
    <row r="238" spans="1:7" ht="12.75">
      <c r="A238" s="441">
        <v>461500</v>
      </c>
      <c r="B238" s="323" t="s">
        <v>21</v>
      </c>
      <c r="C238" s="504">
        <f>'PJ-čistoća-rashod-ok'!C115+'PJ-PiJP-rashod-ok'!C113+'PJ-GiPU-rashod-ok'!C114+'PJ PARKING RASHOD'!C113+'PJ-ZS-rashod-ok'!C113</f>
        <v>20000</v>
      </c>
      <c r="D238" s="319">
        <f t="shared" si="16"/>
        <v>0.13886545235433947</v>
      </c>
      <c r="E238" s="457">
        <f>'PJ-čistoća-rashod-ok'!E115+'PJ-PiJP-rashod-ok'!E113+'PJ-GiPU-rashod-ok'!E114+'PJ PARKING RASHOD'!E113+'PJ-ZS-rashod-ok'!E113</f>
        <v>20000</v>
      </c>
      <c r="F238" s="319">
        <f t="shared" si="17"/>
        <v>0.11505256530333191</v>
      </c>
      <c r="G238" s="387">
        <f t="shared" si="18"/>
        <v>100</v>
      </c>
    </row>
    <row r="239" spans="1:7" ht="12.75">
      <c r="A239" s="414" t="s">
        <v>288</v>
      </c>
      <c r="B239" s="79"/>
      <c r="C239" s="504">
        <f>'PJ-čistoća-rashod-ok'!C116+'PJ-PiJP-rashod-ok'!C114+'PJ-GiPU-rashod-ok'!C115+'PJ PARKING RASHOD'!C114+'PJ-ZS-rashod-ok'!C114</f>
        <v>15000</v>
      </c>
      <c r="D239" s="319">
        <f t="shared" si="16"/>
        <v>0.10414908926575461</v>
      </c>
      <c r="E239" s="457">
        <f>'PJ-čistoća-rashod-ok'!E116+'PJ-PiJP-rashod-ok'!E114+'PJ-GiPU-rashod-ok'!E115+'PJ PARKING RASHOD'!E114+'PJ-ZS-rashod-ok'!E114</f>
        <v>15000</v>
      </c>
      <c r="F239" s="319">
        <f t="shared" si="17"/>
        <v>0.08628942397749893</v>
      </c>
      <c r="G239" s="387">
        <f t="shared" si="18"/>
        <v>100</v>
      </c>
    </row>
    <row r="240" spans="1:7" ht="12.75">
      <c r="A240" s="414" t="s">
        <v>289</v>
      </c>
      <c r="B240" s="79"/>
      <c r="C240" s="504">
        <f>'PJ-čistoća-rashod-ok'!C117+'PJ-PiJP-rashod-ok'!C115+'PJ-GiPU-rashod-ok'!C116+'PJ PARKING RASHOD'!C115+'PJ-ZS-rashod-ok'!C115</f>
        <v>10000</v>
      </c>
      <c r="D240" s="319">
        <f t="shared" si="16"/>
        <v>0.06943272617716974</v>
      </c>
      <c r="E240" s="457">
        <f>'PJ-čistoća-rashod-ok'!E117+'PJ-PiJP-rashod-ok'!E115+'PJ-GiPU-rashod-ok'!E116+'PJ PARKING RASHOD'!E115+'PJ-ZS-rashod-ok'!E115</f>
        <v>10000</v>
      </c>
      <c r="F240" s="319">
        <f t="shared" si="17"/>
        <v>0.057526282651665955</v>
      </c>
      <c r="G240" s="387">
        <f t="shared" si="18"/>
        <v>100</v>
      </c>
    </row>
    <row r="241" spans="1:7" ht="12.75">
      <c r="A241" s="443" t="s">
        <v>318</v>
      </c>
      <c r="B241" s="323"/>
      <c r="C241" s="504">
        <f>'PJ-čistoća-rashod-ok'!C118+'PJ-PiJP-rashod-ok'!C116+'PJ-GiPU-rashod-ok'!C117+'PJ PARKING RASHOD'!C116+'PJ-ZS-rashod-ok'!C116</f>
        <v>192480</v>
      </c>
      <c r="D241" s="319">
        <f t="shared" si="16"/>
        <v>1.3364411134581633</v>
      </c>
      <c r="E241" s="457">
        <f>'PJ-čistoća-rashod-ok'!E118+'PJ-PiJP-rashod-ok'!E116+'PJ-GiPU-rashod-ok'!E117+'PJ PARKING RASHOD'!E116+'PJ-ZS-rashod-ok'!E116</f>
        <v>192480</v>
      </c>
      <c r="F241" s="319">
        <f t="shared" si="17"/>
        <v>1.1072658884792663</v>
      </c>
      <c r="G241" s="387">
        <f t="shared" si="18"/>
        <v>100</v>
      </c>
    </row>
    <row r="242" spans="1:7" ht="12.75">
      <c r="A242" s="414" t="s">
        <v>290</v>
      </c>
      <c r="B242" s="79"/>
      <c r="C242" s="504">
        <f>'PJ-čistoća-rashod-ok'!C119+'PJ-PiJP-rashod-ok'!C117+'PJ-GiPU-rashod-ok'!C118+'PJ PARKING RASHOD'!C117+'PJ-ZS-rashod-ok'!C117</f>
        <v>157607</v>
      </c>
      <c r="D242" s="319">
        <f t="shared" si="16"/>
        <v>1.0943083674605192</v>
      </c>
      <c r="E242" s="457">
        <f>'PJ-čistoća-rashod-ok'!E119+'PJ-PiJP-rashod-ok'!E117+'PJ-GiPU-rashod-ok'!E118+'PJ PARKING RASHOD'!E117+'PJ-ZS-rashod-ok'!E117</f>
        <v>157607</v>
      </c>
      <c r="F242" s="319">
        <f t="shared" si="17"/>
        <v>0.9066544829881116</v>
      </c>
      <c r="G242" s="387">
        <f t="shared" si="18"/>
        <v>100</v>
      </c>
    </row>
    <row r="243" spans="1:7" ht="12.75">
      <c r="A243" s="414" t="s">
        <v>291</v>
      </c>
      <c r="B243" s="79"/>
      <c r="C243" s="504">
        <f>'PJ-čistoća-rashod-ok'!C120+'PJ-PiJP-rashod-ok'!C118+'PJ-GiPU-rashod-ok'!C119+'PJ PARKING RASHOD'!C118+'PJ-ZS-rashod-ok'!C118</f>
        <v>61790</v>
      </c>
      <c r="D243" s="319">
        <f t="shared" si="16"/>
        <v>0.42902481504873186</v>
      </c>
      <c r="E243" s="457">
        <f>'PJ-čistoća-rashod-ok'!E120+'PJ-PiJP-rashod-ok'!E118+'PJ-GiPU-rashod-ok'!E119+'PJ PARKING RASHOD'!E118+'PJ-ZS-rashod-ok'!E118</f>
        <v>61790</v>
      </c>
      <c r="F243" s="319">
        <f t="shared" si="17"/>
        <v>0.35545490050464396</v>
      </c>
      <c r="G243" s="387">
        <f t="shared" si="18"/>
        <v>100</v>
      </c>
    </row>
    <row r="244" spans="1:7" ht="12.75">
      <c r="A244" s="414" t="s">
        <v>292</v>
      </c>
      <c r="B244" s="79"/>
      <c r="C244" s="504">
        <f>'PJ-čistoća-rashod-ok'!C121+'PJ-PiJP-rashod-ok'!C119+'PJ-GiPU-rashod-ok'!C120+'PJ PARKING RASHOD'!C119+'PJ-ZS-rashod-ok'!C119</f>
        <v>40000</v>
      </c>
      <c r="D244" s="319">
        <f t="shared" si="16"/>
        <v>0.27773090470867895</v>
      </c>
      <c r="E244" s="457">
        <f>'PJ-čistoća-rashod-ok'!E121+'PJ-PiJP-rashod-ok'!E119+'PJ-GiPU-rashod-ok'!E120+'PJ PARKING RASHOD'!E119+'PJ-ZS-rashod-ok'!E119</f>
        <v>40000</v>
      </c>
      <c r="F244" s="319">
        <f t="shared" si="17"/>
        <v>0.23010513060666382</v>
      </c>
      <c r="G244" s="387">
        <f t="shared" si="18"/>
        <v>100</v>
      </c>
    </row>
    <row r="245" spans="1:7" ht="12.75">
      <c r="A245" s="414" t="s">
        <v>293</v>
      </c>
      <c r="B245" s="79"/>
      <c r="C245" s="504">
        <f>'PJ-čistoća-rashod-ok'!C122+'PJ-PiJP-rashod-ok'!C120+'PJ-GiPU-rashod-ok'!C121+'PJ PARKING RASHOD'!C120+'PJ-ZS-rashod-ok'!C120</f>
        <v>122000</v>
      </c>
      <c r="D245" s="319">
        <f t="shared" si="16"/>
        <v>0.8470792593614709</v>
      </c>
      <c r="E245" s="457">
        <f>'PJ-čistoća-rashod-ok'!E122+'PJ-PiJP-rashod-ok'!E120+'PJ-GiPU-rashod-ok'!E121+'PJ PARKING RASHOD'!E120+'PJ-ZS-rashod-ok'!E120</f>
        <v>122000</v>
      </c>
      <c r="F245" s="319">
        <f t="shared" si="17"/>
        <v>0.7018206483503246</v>
      </c>
      <c r="G245" s="387">
        <f t="shared" si="18"/>
        <v>100</v>
      </c>
    </row>
    <row r="246" spans="1:7" ht="13.5" thickBot="1">
      <c r="A246" s="414" t="s">
        <v>423</v>
      </c>
      <c r="B246" s="79" t="s">
        <v>422</v>
      </c>
      <c r="C246" s="505">
        <f>'PJ-čistoća-rashod-ok'!C123+'PJ-PiJP-rashod-ok'!C121+'PJ-GiPU-rashod-ok'!C122+'PJ PARKING RASHOD'!C121+'PJ-ZS-rashod-ok'!C121</f>
        <v>58000</v>
      </c>
      <c r="D246" s="390">
        <f t="shared" si="16"/>
        <v>0.40270981182758453</v>
      </c>
      <c r="E246" s="507">
        <f>'PJ-čistoća-rashod-ok'!E123+'PJ-PiJP-rashod-ok'!E121+'PJ-GiPU-rashod-ok'!E122+'PJ PARKING RASHOD'!E121+'PJ-ZS-rashod-ok'!E121</f>
        <v>90000</v>
      </c>
      <c r="F246" s="390">
        <f t="shared" si="17"/>
        <v>0.5177365438649937</v>
      </c>
      <c r="G246" s="388">
        <f t="shared" si="18"/>
        <v>155.17241379310346</v>
      </c>
    </row>
    <row r="247" spans="1:7" ht="12.75">
      <c r="A247" s="414"/>
      <c r="B247" s="79"/>
      <c r="C247" s="457"/>
      <c r="D247" s="329"/>
      <c r="E247" s="457"/>
      <c r="F247" s="329"/>
      <c r="G247" s="313"/>
    </row>
    <row r="248" spans="1:7" ht="12.75">
      <c r="A248" s="414"/>
      <c r="B248" s="79"/>
      <c r="C248" s="457"/>
      <c r="D248" s="329"/>
      <c r="E248" s="457"/>
      <c r="F248" s="329"/>
      <c r="G248" s="313"/>
    </row>
    <row r="249" spans="1:7" ht="13.5">
      <c r="A249" s="34"/>
      <c r="B249" s="35" t="s">
        <v>166</v>
      </c>
      <c r="C249" s="34"/>
      <c r="D249" s="34"/>
      <c r="E249" s="34"/>
      <c r="G249" s="304" t="s">
        <v>345</v>
      </c>
    </row>
    <row r="250" spans="1:7" ht="13.5">
      <c r="A250" s="34"/>
      <c r="B250" s="37" t="s">
        <v>33</v>
      </c>
      <c r="C250" s="34" t="s">
        <v>218</v>
      </c>
      <c r="D250" s="34"/>
      <c r="E250" s="34"/>
      <c r="F250" s="45"/>
      <c r="G250" s="161"/>
    </row>
    <row r="251" spans="1:7" ht="13.5">
      <c r="A251" s="162"/>
      <c r="B251" s="37" t="s">
        <v>34</v>
      </c>
      <c r="C251" s="34" t="s">
        <v>219</v>
      </c>
      <c r="D251" s="34"/>
      <c r="E251" s="34"/>
      <c r="F251" s="45"/>
      <c r="G251" s="161"/>
    </row>
    <row r="252" spans="1:7" ht="18">
      <c r="A252" s="34"/>
      <c r="B252" s="38" t="s">
        <v>35</v>
      </c>
      <c r="C252" s="34" t="s">
        <v>220</v>
      </c>
      <c r="D252" s="34"/>
      <c r="E252" s="34"/>
      <c r="F252" s="51"/>
      <c r="G252" s="161"/>
    </row>
    <row r="253" spans="1:7" ht="13.5">
      <c r="A253" s="34"/>
      <c r="B253" s="34"/>
      <c r="C253" s="34" t="s">
        <v>378</v>
      </c>
      <c r="D253" s="34"/>
      <c r="E253" s="34"/>
      <c r="F253" s="48"/>
      <c r="G253" s="161"/>
    </row>
    <row r="254" spans="1:7" ht="12.75">
      <c r="A254" s="303"/>
      <c r="B254" s="124"/>
      <c r="C254" s="303"/>
      <c r="D254" s="303"/>
      <c r="E254" s="303"/>
      <c r="F254" s="306"/>
      <c r="G254" s="306"/>
    </row>
    <row r="255" spans="1:7" ht="12.75">
      <c r="A255" s="303"/>
      <c r="B255" s="307" t="s">
        <v>374</v>
      </c>
      <c r="C255" s="79"/>
      <c r="D255" s="79"/>
      <c r="E255" s="79"/>
      <c r="F255" s="306"/>
      <c r="G255" s="306"/>
    </row>
    <row r="256" spans="1:7" ht="12.75">
      <c r="A256" s="161"/>
      <c r="B256" s="79"/>
      <c r="C256" s="79"/>
      <c r="D256" s="79"/>
      <c r="E256" s="79"/>
      <c r="F256" s="303"/>
      <c r="G256" s="161"/>
    </row>
    <row r="257" spans="1:7" ht="12.75">
      <c r="A257" s="303"/>
      <c r="B257" s="302" t="s">
        <v>151</v>
      </c>
      <c r="C257" s="79"/>
      <c r="D257" s="79"/>
      <c r="E257" s="79"/>
      <c r="F257" s="303"/>
      <c r="G257" s="161"/>
    </row>
    <row r="258" spans="1:7" ht="12.75">
      <c r="A258" s="303"/>
      <c r="B258" s="79"/>
      <c r="C258" s="79"/>
      <c r="D258" s="79"/>
      <c r="E258" s="79"/>
      <c r="F258" s="303"/>
      <c r="G258" s="161"/>
    </row>
    <row r="259" spans="1:7" ht="12.75">
      <c r="A259" s="161"/>
      <c r="B259" s="456" t="s">
        <v>325</v>
      </c>
      <c r="C259" s="79"/>
      <c r="D259" s="79"/>
      <c r="E259" s="79"/>
      <c r="F259" s="161"/>
      <c r="G259" s="161"/>
    </row>
    <row r="260" spans="1:7" ht="12.75">
      <c r="A260" s="122">
        <v>1</v>
      </c>
      <c r="B260" s="122">
        <v>2</v>
      </c>
      <c r="C260" s="122">
        <v>3</v>
      </c>
      <c r="D260" s="122">
        <v>4</v>
      </c>
      <c r="E260" s="122">
        <v>5</v>
      </c>
      <c r="F260" s="122">
        <v>6</v>
      </c>
      <c r="G260" s="122">
        <v>7</v>
      </c>
    </row>
    <row r="261" spans="1:7" ht="13.5" thickBot="1">
      <c r="A261" s="161"/>
      <c r="B261" s="161"/>
      <c r="C261" s="161"/>
      <c r="D261" s="122"/>
      <c r="E261" s="161"/>
      <c r="F261" s="161"/>
      <c r="G261" s="161"/>
    </row>
    <row r="262" spans="1:7" ht="12.75">
      <c r="A262" s="302"/>
      <c r="B262" s="309" t="s">
        <v>7</v>
      </c>
      <c r="C262" s="310" t="s">
        <v>365</v>
      </c>
      <c r="D262" s="494" t="s">
        <v>28</v>
      </c>
      <c r="E262" s="310" t="s">
        <v>380</v>
      </c>
      <c r="F262" s="450" t="s">
        <v>28</v>
      </c>
      <c r="G262" s="451" t="s">
        <v>13</v>
      </c>
    </row>
    <row r="263" spans="1:7" ht="13.5" thickBot="1">
      <c r="A263" s="79"/>
      <c r="B263" s="79"/>
      <c r="C263" s="204" t="s">
        <v>16</v>
      </c>
      <c r="D263" s="496" t="s">
        <v>15</v>
      </c>
      <c r="E263" s="204" t="s">
        <v>16</v>
      </c>
      <c r="F263" s="261" t="s">
        <v>15</v>
      </c>
      <c r="G263" s="452" t="s">
        <v>40</v>
      </c>
    </row>
    <row r="264" spans="1:7" ht="12.75">
      <c r="A264" s="414"/>
      <c r="B264" s="79"/>
      <c r="C264" s="326"/>
      <c r="D264" s="360"/>
      <c r="E264" s="447"/>
      <c r="F264" s="433">
        <f aca="true" t="shared" si="19" ref="F264:F279">$E264/$E$305*100</f>
        <v>0</v>
      </c>
      <c r="G264" s="386" t="e">
        <f aca="true" t="shared" si="20" ref="G264:G281">E264/C264*100</f>
        <v>#DIV/0!</v>
      </c>
    </row>
    <row r="265" spans="1:7" ht="12.75">
      <c r="A265" s="414" t="s">
        <v>294</v>
      </c>
      <c r="B265" s="79"/>
      <c r="C265" s="327">
        <f>'PJ-čistoća-rashod-ok'!C140+'PJ-PiJP-rashod-ok'!C138+'PJ-GiPU-rashod-ok'!C139+'PJ PARKING RASHOD'!C138+'PJ-ZS-rashod-ok'!C138</f>
        <v>40000</v>
      </c>
      <c r="D265" s="319">
        <f aca="true" t="shared" si="21" ref="D265:D279">$C265/$C$305*100</f>
        <v>0.27773090470867895</v>
      </c>
      <c r="E265" s="180">
        <f>'PJ-čistoća-rashod-ok'!E140+'PJ-PiJP-rashod-ok'!E138+'PJ-GiPU-rashod-ok'!E139+'PJ PARKING RASHOD'!E138+'PJ-ZS-rashod-ok'!E138</f>
        <v>40000</v>
      </c>
      <c r="F265" s="319">
        <f t="shared" si="19"/>
        <v>0.23010513060666382</v>
      </c>
      <c r="G265" s="387">
        <f t="shared" si="20"/>
        <v>100</v>
      </c>
    </row>
    <row r="266" spans="1:7" ht="12.75">
      <c r="A266" s="414" t="s">
        <v>295</v>
      </c>
      <c r="B266" s="79"/>
      <c r="C266" s="327">
        <f>'PJ-čistoća-rashod-ok'!C141+'PJ-PiJP-rashod-ok'!C139+'PJ-GiPU-rashod-ok'!C140+'PJ PARKING RASHOD'!C139+'PJ-ZS-rashod-ok'!C139</f>
        <v>15000</v>
      </c>
      <c r="D266" s="319">
        <f t="shared" si="21"/>
        <v>0.10414908926575461</v>
      </c>
      <c r="E266" s="180">
        <f>'PJ-čistoća-rashod-ok'!E141+'PJ-PiJP-rashod-ok'!E139+'PJ-GiPU-rashod-ok'!E140+'PJ PARKING RASHOD'!E139+'PJ-ZS-rashod-ok'!E139</f>
        <v>15000</v>
      </c>
      <c r="F266" s="319">
        <f t="shared" si="19"/>
        <v>0.08628942397749893</v>
      </c>
      <c r="G266" s="387">
        <f t="shared" si="20"/>
        <v>100</v>
      </c>
    </row>
    <row r="267" spans="1:7" ht="12.75">
      <c r="A267" s="439" t="s">
        <v>319</v>
      </c>
      <c r="B267" s="79"/>
      <c r="C267" s="327">
        <f>'PJ-čistoća-rashod-ok'!C142+'PJ-PiJP-rashod-ok'!C140+'PJ-GiPU-rashod-ok'!C141+'PJ PARKING RASHOD'!C140+'PJ-ZS-rashod-ok'!C140</f>
        <v>7000</v>
      </c>
      <c r="D267" s="319">
        <f t="shared" si="21"/>
        <v>0.04860290832401882</v>
      </c>
      <c r="E267" s="180">
        <f>'PJ-čistoća-rashod-ok'!E142+'PJ-PiJP-rashod-ok'!E140+'PJ-GiPU-rashod-ok'!E141+'PJ PARKING RASHOD'!E140+'PJ-ZS-rashod-ok'!E140</f>
        <v>7000</v>
      </c>
      <c r="F267" s="319">
        <f t="shared" si="19"/>
        <v>0.04026839785616618</v>
      </c>
      <c r="G267" s="387">
        <f t="shared" si="20"/>
        <v>100</v>
      </c>
    </row>
    <row r="268" spans="1:7" ht="12.75">
      <c r="A268" s="439" t="s">
        <v>321</v>
      </c>
      <c r="B268" s="79"/>
      <c r="C268" s="327">
        <f>'PJ-čistoća-rashod-ok'!C143+'PJ-PiJP-rashod-ok'!C141+'PJ-GiPU-rashod-ok'!C142+'PJ PARKING RASHOD'!C141+'PJ-ZS-rashod-ok'!C141</f>
        <v>5000</v>
      </c>
      <c r="D268" s="319">
        <f t="shared" si="21"/>
        <v>0.03471636308858487</v>
      </c>
      <c r="E268" s="180">
        <f>'PJ-čistoća-rashod-ok'!E143+'PJ-PiJP-rashod-ok'!E141+'PJ-GiPU-rashod-ok'!E142+'PJ PARKING RASHOD'!E141+'PJ-ZS-rashod-ok'!E141</f>
        <v>5000</v>
      </c>
      <c r="F268" s="319">
        <f t="shared" si="19"/>
        <v>0.028763141325832978</v>
      </c>
      <c r="G268" s="387">
        <f t="shared" si="20"/>
        <v>100</v>
      </c>
    </row>
    <row r="269" spans="1:7" ht="12.75">
      <c r="A269" s="414" t="s">
        <v>296</v>
      </c>
      <c r="B269" s="79"/>
      <c r="C269" s="327">
        <f>'PJ-čistoća-rashod-ok'!C144+'PJ-PiJP-rashod-ok'!C142+'PJ-GiPU-rashod-ok'!C143+'PJ PARKING RASHOD'!C142+'PJ-ZS-rashod-ok'!C142</f>
        <v>37300</v>
      </c>
      <c r="D269" s="319">
        <f t="shared" si="21"/>
        <v>0.2589840686408431</v>
      </c>
      <c r="E269" s="180">
        <f>'PJ-čistoća-rashod-ok'!E144+'PJ-PiJP-rashod-ok'!E142+'PJ-GiPU-rashod-ok'!E143+'PJ PARKING RASHOD'!E142+'PJ-ZS-rashod-ok'!E142</f>
        <v>37300</v>
      </c>
      <c r="F269" s="319">
        <f t="shared" si="19"/>
        <v>0.21457303429071403</v>
      </c>
      <c r="G269" s="387">
        <f t="shared" si="20"/>
        <v>100</v>
      </c>
    </row>
    <row r="270" spans="1:7" ht="12.75">
      <c r="A270" s="439" t="s">
        <v>320</v>
      </c>
      <c r="B270" s="79"/>
      <c r="C270" s="327">
        <f>'PJ-čistoća-rashod-ok'!C145+'PJ-PiJP-rashod-ok'!C143+'PJ-GiPU-rashod-ok'!C144+'PJ PARKING RASHOD'!C143+'PJ-ZS-rashod-ok'!C143</f>
        <v>45000</v>
      </c>
      <c r="D270" s="319">
        <f t="shared" si="21"/>
        <v>0.31244726779726384</v>
      </c>
      <c r="E270" s="180">
        <f>'PJ-čistoća-rashod-ok'!E145+'PJ-PiJP-rashod-ok'!E143+'PJ-GiPU-rashod-ok'!E144+'PJ PARKING RASHOD'!E143+'PJ-ZS-rashod-ok'!E143</f>
        <v>45000</v>
      </c>
      <c r="F270" s="319">
        <f t="shared" si="19"/>
        <v>0.25886827193249684</v>
      </c>
      <c r="G270" s="387">
        <f t="shared" si="20"/>
        <v>100</v>
      </c>
    </row>
    <row r="271" spans="1:7" ht="12.75">
      <c r="A271" s="414" t="s">
        <v>297</v>
      </c>
      <c r="B271" s="79"/>
      <c r="C271" s="327">
        <f>'PJ-čistoća-rashod-ok'!C146+'PJ-PiJP-rashod-ok'!C144+'PJ-GiPU-rashod-ok'!C145+'PJ PARKING RASHOD'!C144+'PJ-ZS-rashod-ok'!C144</f>
        <v>0</v>
      </c>
      <c r="D271" s="319">
        <f t="shared" si="21"/>
        <v>0</v>
      </c>
      <c r="E271" s="180">
        <f>'PJ-čistoća-rashod-ok'!E146+'PJ-PiJP-rashod-ok'!E144+'PJ-GiPU-rashod-ok'!E145+'PJ PARKING RASHOD'!E144+'PJ-ZS-rashod-ok'!E144</f>
        <v>0</v>
      </c>
      <c r="F271" s="319">
        <f t="shared" si="19"/>
        <v>0</v>
      </c>
      <c r="G271" s="387" t="e">
        <f t="shared" si="20"/>
        <v>#DIV/0!</v>
      </c>
    </row>
    <row r="272" spans="1:7" ht="12.75">
      <c r="A272" s="414" t="s">
        <v>298</v>
      </c>
      <c r="B272" s="79"/>
      <c r="C272" s="327">
        <f>'PJ-čistoća-rashod-ok'!C147+'PJ-PiJP-rashod-ok'!C145+'PJ-GiPU-rashod-ok'!C146+'PJ PARKING RASHOD'!C145+'PJ-ZS-rashod-ok'!C145</f>
        <v>1200</v>
      </c>
      <c r="D272" s="319">
        <f t="shared" si="21"/>
        <v>0.008331927141260369</v>
      </c>
      <c r="E272" s="180">
        <f>'PJ-čistoća-rashod-ok'!E147+'PJ-PiJP-rashod-ok'!E145+'PJ-GiPU-rashod-ok'!E146+'PJ PARKING RASHOD'!E145+'PJ-ZS-rashod-ok'!E145</f>
        <v>1200</v>
      </c>
      <c r="F272" s="319">
        <f t="shared" si="19"/>
        <v>0.006903153918199915</v>
      </c>
      <c r="G272" s="387">
        <f t="shared" si="20"/>
        <v>100</v>
      </c>
    </row>
    <row r="273" spans="1:7" ht="12.75">
      <c r="A273" s="414" t="s">
        <v>299</v>
      </c>
      <c r="B273" s="79"/>
      <c r="C273" s="327">
        <f>'PJ-čistoća-rashod-ok'!C148+'PJ-PiJP-rashod-ok'!C146+'PJ-GiPU-rashod-ok'!C147+'PJ PARKING RASHOD'!C146+'PJ-ZS-rashod-ok'!C146</f>
        <v>1000</v>
      </c>
      <c r="D273" s="319">
        <f t="shared" si="21"/>
        <v>0.006943272617716974</v>
      </c>
      <c r="E273" s="180">
        <f>'PJ-čistoća-rashod-ok'!E148+'PJ-PiJP-rashod-ok'!E146+'PJ-GiPU-rashod-ok'!E147+'PJ PARKING RASHOD'!E146+'PJ-ZS-rashod-ok'!E146</f>
        <v>1000</v>
      </c>
      <c r="F273" s="319">
        <f t="shared" si="19"/>
        <v>0.005752628265166596</v>
      </c>
      <c r="G273" s="387">
        <f t="shared" si="20"/>
        <v>100</v>
      </c>
    </row>
    <row r="274" spans="1:7" ht="12.75">
      <c r="A274" s="414" t="s">
        <v>300</v>
      </c>
      <c r="B274" s="79"/>
      <c r="C274" s="327">
        <f>'PJ-čistoća-rashod-ok'!C149+'PJ-PiJP-rashod-ok'!C147+'PJ-GiPU-rashod-ok'!C148+'PJ PARKING RASHOD'!C147+'PJ-ZS-rashod-ok'!C147</f>
        <v>40000</v>
      </c>
      <c r="D274" s="319">
        <f t="shared" si="21"/>
        <v>0.27773090470867895</v>
      </c>
      <c r="E274" s="180">
        <f>'PJ-čistoća-rashod-ok'!E149+'PJ-PiJP-rashod-ok'!E147+'PJ-GiPU-rashod-ok'!E148+'PJ PARKING RASHOD'!E147+'PJ-ZS-rashod-ok'!E147</f>
        <v>40000</v>
      </c>
      <c r="F274" s="319">
        <f t="shared" si="19"/>
        <v>0.23010513060666382</v>
      </c>
      <c r="G274" s="387">
        <f t="shared" si="20"/>
        <v>100</v>
      </c>
    </row>
    <row r="275" spans="1:7" ht="12.75">
      <c r="A275" s="414" t="s">
        <v>301</v>
      </c>
      <c r="B275" s="79"/>
      <c r="C275" s="327">
        <f>'PJ-čistoća-rashod-ok'!C150+'PJ-PiJP-rashod-ok'!C148+'PJ-GiPU-rashod-ok'!C149+'PJ PARKING RASHOD'!C148+'PJ-ZS-rashod-ok'!C148</f>
        <v>13440</v>
      </c>
      <c r="D275" s="319">
        <f t="shared" si="21"/>
        <v>0.09331758398211613</v>
      </c>
      <c r="E275" s="180">
        <f>'PJ-čistoća-rashod-ok'!E150+'PJ-PiJP-rashod-ok'!E148+'PJ-GiPU-rashod-ok'!E149+'PJ PARKING RASHOD'!E148+'PJ-ZS-rashod-ok'!E148</f>
        <v>13440</v>
      </c>
      <c r="F275" s="319">
        <f t="shared" si="19"/>
        <v>0.07731532388383905</v>
      </c>
      <c r="G275" s="387">
        <f t="shared" si="20"/>
        <v>100</v>
      </c>
    </row>
    <row r="276" spans="1:7" ht="12.75">
      <c r="A276" s="414" t="s">
        <v>302</v>
      </c>
      <c r="B276" s="79"/>
      <c r="C276" s="327">
        <f>'PJ-čistoća-rashod-ok'!C151+'PJ-PiJP-rashod-ok'!C149+'PJ-GiPU-rashod-ok'!C150+'PJ PARKING RASHOD'!C149+'PJ-ZS-rashod-ok'!C149</f>
        <v>30000</v>
      </c>
      <c r="D276" s="319">
        <f t="shared" si="21"/>
        <v>0.20829817853150923</v>
      </c>
      <c r="E276" s="180">
        <f>'PJ-čistoća-rashod-ok'!E151+'PJ-PiJP-rashod-ok'!E149+'PJ-GiPU-rashod-ok'!E150+'PJ PARKING RASHOD'!E149+'PJ-ZS-rashod-ok'!E149</f>
        <v>30000</v>
      </c>
      <c r="F276" s="319">
        <f t="shared" si="19"/>
        <v>0.17257884795499787</v>
      </c>
      <c r="G276" s="387">
        <f t="shared" si="20"/>
        <v>100</v>
      </c>
    </row>
    <row r="277" spans="1:7" ht="12.75">
      <c r="A277" s="414" t="s">
        <v>303</v>
      </c>
      <c r="B277" s="79"/>
      <c r="C277" s="327">
        <f>'PJ-čistoća-rashod-ok'!C152+'PJ-PiJP-rashod-ok'!C150+'PJ-GiPU-rashod-ok'!C151+'PJ PARKING RASHOD'!C150+'PJ-ZS-rashod-ok'!C150</f>
        <v>5000</v>
      </c>
      <c r="D277" s="319">
        <f t="shared" si="21"/>
        <v>0.03471636308858487</v>
      </c>
      <c r="E277" s="180">
        <f>'PJ-čistoća-rashod-ok'!E152+'PJ-PiJP-rashod-ok'!E150+'PJ-GiPU-rashod-ok'!E151+'PJ PARKING RASHOD'!E150+'PJ-ZS-rashod-ok'!E150</f>
        <v>5000</v>
      </c>
      <c r="F277" s="319">
        <f t="shared" si="19"/>
        <v>0.028763141325832978</v>
      </c>
      <c r="G277" s="387">
        <f t="shared" si="20"/>
        <v>100</v>
      </c>
    </row>
    <row r="278" spans="1:7" ht="12.75">
      <c r="A278" s="414" t="s">
        <v>304</v>
      </c>
      <c r="B278" s="79"/>
      <c r="C278" s="327">
        <f>'PJ-čistoća-rashod-ok'!C153+'PJ-PiJP-rashod-ok'!C151+'PJ-GiPU-rashod-ok'!C152+'PJ PARKING RASHOD'!C151+'PJ-ZS-rashod-ok'!C151</f>
        <v>51000</v>
      </c>
      <c r="D278" s="319">
        <f t="shared" si="21"/>
        <v>0.3541069035035657</v>
      </c>
      <c r="E278" s="180">
        <f>'PJ-čistoća-rashod-ok'!E153+'PJ-PiJP-rashod-ok'!E151+'PJ-GiPU-rashod-ok'!E152+'PJ PARKING RASHOD'!E151+'PJ-ZS-rashod-ok'!E151</f>
        <v>51000</v>
      </c>
      <c r="F278" s="319">
        <f t="shared" si="19"/>
        <v>0.2933840415234964</v>
      </c>
      <c r="G278" s="387">
        <f t="shared" si="20"/>
        <v>100</v>
      </c>
    </row>
    <row r="279" spans="1:7" ht="13.5" thickBot="1">
      <c r="A279" s="414" t="s">
        <v>305</v>
      </c>
      <c r="B279" s="79"/>
      <c r="C279" s="418">
        <f>'PJ-čistoća-rashod-ok'!C154+'PJ-PiJP-rashod-ok'!C152+'PJ-GiPU-rashod-ok'!C153+'PJ PARKING RASHOD'!C152+'PJ-ZS-rashod-ok'!C152</f>
        <v>13000</v>
      </c>
      <c r="D279" s="390">
        <f t="shared" si="21"/>
        <v>0.09026254403032066</v>
      </c>
      <c r="E279" s="448">
        <f>'PJ-čistoća-rashod-ok'!E154+'PJ-PiJP-rashod-ok'!E152+'PJ-GiPU-rashod-ok'!E153+'PJ PARKING RASHOD'!E152+'PJ-ZS-rashod-ok'!E152</f>
        <v>13000</v>
      </c>
      <c r="F279" s="319">
        <f t="shared" si="19"/>
        <v>0.07478416744716575</v>
      </c>
      <c r="G279" s="388">
        <f t="shared" si="20"/>
        <v>100</v>
      </c>
    </row>
    <row r="280" spans="1:7" ht="13.5" thickBot="1">
      <c r="A280" s="79"/>
      <c r="B280" s="79"/>
      <c r="C280" s="327"/>
      <c r="D280" s="327"/>
      <c r="E280" s="327"/>
      <c r="F280" s="453"/>
      <c r="G280" s="383" t="e">
        <f t="shared" si="20"/>
        <v>#DIV/0!</v>
      </c>
    </row>
    <row r="281" spans="1:7" ht="13.5" thickBot="1">
      <c r="A281" s="302">
        <v>46</v>
      </c>
      <c r="B281" s="316" t="s">
        <v>98</v>
      </c>
      <c r="C281" s="391">
        <f>'PJ-čistoća-rashod-ok'!C156+'PJ-PiJP-rashod-ok'!C154+'PJ-GiPU-rashod-ok'!C155+'PJ PARKING RASHOD'!C154+'PJ-ZS-rashod-ok'!C154</f>
        <v>1361117</v>
      </c>
      <c r="D281" s="317">
        <f>$C281/$C$305*100</f>
        <v>9.450606395609075</v>
      </c>
      <c r="E281" s="391">
        <f>'PJ-čistoća-rashod-ok'!E156+'PJ-PiJP-rashod-ok'!E154+'PJ-GiPU-rashod-ok'!E155+'PJ PARKING RASHOD'!E154+'PJ-ZS-rashod-ok'!E154</f>
        <v>1373117</v>
      </c>
      <c r="F281" s="390">
        <f>$E281/$E$305*100</f>
        <v>7.899031665580761</v>
      </c>
      <c r="G281" s="389">
        <f t="shared" si="20"/>
        <v>100.88162883866707</v>
      </c>
    </row>
    <row r="282" spans="1:7" ht="12.75">
      <c r="A282" s="79"/>
      <c r="B282" s="79"/>
      <c r="C282" s="79"/>
      <c r="D282" s="79"/>
      <c r="E282" s="79"/>
      <c r="F282" s="79"/>
      <c r="G282" s="313"/>
    </row>
    <row r="283" spans="1:7" ht="13.5" thickBot="1">
      <c r="A283" s="79"/>
      <c r="B283" s="79"/>
      <c r="C283" s="79"/>
      <c r="D283" s="79"/>
      <c r="E283" s="79"/>
      <c r="F283" s="79"/>
      <c r="G283" s="313"/>
    </row>
    <row r="284" spans="1:7" ht="12.75">
      <c r="A284" s="414" t="s">
        <v>306</v>
      </c>
      <c r="B284" s="79"/>
      <c r="C284" s="326">
        <f>'PJ-čistoća-rashod-ok'!C159+'PJ-PiJP-rashod-ok'!C157+'PJ-GiPU-rashod-ok'!C158+'PJ PARKING RASHOD'!C157+'PJ-ZS-rashod-ok'!C157</f>
        <v>40000</v>
      </c>
      <c r="D284" s="433">
        <f>$C284/$C$305*100</f>
        <v>0.27773090470867895</v>
      </c>
      <c r="E284" s="447">
        <f>'PJ-čistoća-rashod-ok'!E159+'PJ-PiJP-rashod-ok'!E157+'PJ-GiPU-rashod-ok'!E158+'PJ PARKING RASHOD'!E157+'PJ-ZS-rashod-ok'!E157</f>
        <v>40000</v>
      </c>
      <c r="F284" s="433">
        <f>$E284/$E$305*100</f>
        <v>0.23010513060666382</v>
      </c>
      <c r="G284" s="383">
        <f>E284/C284*100</f>
        <v>100</v>
      </c>
    </row>
    <row r="285" spans="1:7" ht="12.75">
      <c r="A285" s="414" t="s">
        <v>307</v>
      </c>
      <c r="B285" s="79"/>
      <c r="C285" s="327">
        <f>'PJ-čistoća-rashod-ok'!C160+'PJ-PiJP-rashod-ok'!C158+'PJ-GiPU-rashod-ok'!C159+'PJ PARKING RASHOD'!C158+'PJ-ZS-rashod-ok'!C158</f>
        <v>130000</v>
      </c>
      <c r="D285" s="319">
        <f>$C285/$C$305*100</f>
        <v>0.9026254403032067</v>
      </c>
      <c r="E285" s="180">
        <f>'PJ-čistoća-rashod-ok'!E160+'PJ-PiJP-rashod-ok'!E158+'PJ-GiPU-rashod-ok'!E159+'PJ PARKING RASHOD'!E158+'PJ-ZS-rashod-ok'!E158</f>
        <v>130000</v>
      </c>
      <c r="F285" s="319">
        <f>$E285/$E$305*100</f>
        <v>0.7478416744716575</v>
      </c>
      <c r="G285" s="384">
        <f>E285/C285*100</f>
        <v>100</v>
      </c>
    </row>
    <row r="286" spans="1:7" ht="12.75">
      <c r="A286" s="414" t="s">
        <v>308</v>
      </c>
      <c r="B286" s="79"/>
      <c r="C286" s="327">
        <f>'PJ-čistoća-rashod-ok'!C161+'PJ-PiJP-rashod-ok'!C159+'PJ-GiPU-rashod-ok'!C160+'PJ PARKING RASHOD'!C159+'PJ-ZS-rashod-ok'!C159</f>
        <v>41000</v>
      </c>
      <c r="D286" s="319">
        <f>$C286/$C$305*100</f>
        <v>0.284674177326396</v>
      </c>
      <c r="E286" s="180">
        <f>'PJ-čistoća-rashod-ok'!E161+'PJ-PiJP-rashod-ok'!E159+'PJ-GiPU-rashod-ok'!E160+'PJ PARKING RASHOD'!E159+'PJ-ZS-rashod-ok'!E159</f>
        <v>41000</v>
      </c>
      <c r="F286" s="319">
        <f>$E286/$E$305*100</f>
        <v>0.23585775887183044</v>
      </c>
      <c r="G286" s="384">
        <f>E286/C286*100</f>
        <v>100</v>
      </c>
    </row>
    <row r="287" spans="1:7" ht="12.75">
      <c r="A287" s="414" t="s">
        <v>309</v>
      </c>
      <c r="B287" s="79"/>
      <c r="C287" s="327">
        <f>'PJ-čistoća-rashod-ok'!C162+'PJ-PiJP-rashod-ok'!C160+'PJ-GiPU-rashod-ok'!C161+'PJ PARKING RASHOD'!C160+'PJ-ZS-rashod-ok'!C160</f>
        <v>30000</v>
      </c>
      <c r="D287" s="319">
        <f>$C287/$C$305*100</f>
        <v>0.20829817853150923</v>
      </c>
      <c r="E287" s="180">
        <f>'PJ-čistoća-rashod-ok'!E162+'PJ-PiJP-rashod-ok'!E160+'PJ-GiPU-rashod-ok'!E161+'PJ PARKING RASHOD'!E160+'PJ-ZS-rashod-ok'!E160</f>
        <v>30000</v>
      </c>
      <c r="F287" s="319">
        <f>$E287/$E$305*100</f>
        <v>0.17257884795499787</v>
      </c>
      <c r="G287" s="384">
        <f>E287/C287*100</f>
        <v>100</v>
      </c>
    </row>
    <row r="288" spans="1:7" ht="13.5" thickBot="1">
      <c r="A288" s="414" t="s">
        <v>310</v>
      </c>
      <c r="B288" s="79"/>
      <c r="C288" s="418">
        <f>'PJ-čistoća-rashod-ok'!C163+'PJ-PiJP-rashod-ok'!C161+'PJ-GiPU-rashod-ok'!C162+'PJ PARKING RASHOD'!C161+'PJ-ZS-rashod-ok'!C161</f>
        <v>0</v>
      </c>
      <c r="D288" s="390">
        <f>$C288/$C$305*100</f>
        <v>0</v>
      </c>
      <c r="E288" s="448">
        <f>'PJ-čistoća-rashod-ok'!E163+'PJ-PiJP-rashod-ok'!E161+'PJ-GiPU-rashod-ok'!E162+'PJ PARKING RASHOD'!E161+'PJ-ZS-rashod-ok'!E161</f>
        <v>0</v>
      </c>
      <c r="F288" s="390">
        <f>$E288/$E$305*100</f>
        <v>0</v>
      </c>
      <c r="G288" s="421" t="e">
        <f>E288/C288*100</f>
        <v>#DIV/0!</v>
      </c>
    </row>
    <row r="289" spans="1:7" ht="13.5" thickBot="1">
      <c r="A289" s="79"/>
      <c r="B289" s="79"/>
      <c r="C289" s="333"/>
      <c r="D289" s="286"/>
      <c r="E289" s="333"/>
      <c r="F289" s="286"/>
      <c r="G289" s="313"/>
    </row>
    <row r="290" spans="1:7" ht="13.5" thickBot="1">
      <c r="A290" s="302">
        <v>47</v>
      </c>
      <c r="B290" s="316" t="s">
        <v>144</v>
      </c>
      <c r="C290" s="391">
        <f>'PJ-čistoća-rashod-ok'!C165+'PJ-PiJP-rashod-ok'!C163+'PJ-GiPU-rashod-ok'!C164+'PJ PARKING RASHOD'!C163+'PJ-ZS-rashod-ok'!C163</f>
        <v>241000</v>
      </c>
      <c r="D290" s="317">
        <f>$C290/$C$305*100</f>
        <v>1.673328700869791</v>
      </c>
      <c r="E290" s="391">
        <f>'PJ-čistoća-rashod-ok'!E165+'PJ-PiJP-rashod-ok'!E163+'PJ-GiPU-rashod-ok'!E164+'PJ PARKING RASHOD'!E163+'PJ-ZS-rashod-ok'!E163</f>
        <v>241000</v>
      </c>
      <c r="F290" s="317">
        <f>$E290/$E$305*100</f>
        <v>1.3863834119051497</v>
      </c>
      <c r="G290" s="389">
        <f>E290/C290*100</f>
        <v>100</v>
      </c>
    </row>
    <row r="291" spans="1:7" ht="13.5" thickBot="1">
      <c r="A291" s="302"/>
      <c r="B291" s="316"/>
      <c r="C291" s="333"/>
      <c r="D291" s="286"/>
      <c r="E291" s="333"/>
      <c r="F291" s="286"/>
      <c r="G291" s="313"/>
    </row>
    <row r="292" spans="1:7" ht="12.75">
      <c r="A292" s="414" t="s">
        <v>311</v>
      </c>
      <c r="B292" s="312"/>
      <c r="C292" s="326">
        <f>'PJ-čistoća-rashod-ok'!C167+'PJ-PiJP-rashod-ok'!C165+'PJ-GiPU-rashod-ok'!C166+'PJ PARKING RASHOD'!C165+'PJ-ZS-rashod-ok'!C165</f>
        <v>100000</v>
      </c>
      <c r="D292" s="433">
        <f aca="true" t="shared" si="22" ref="D292:D305">$C292/$C$305*100</f>
        <v>0.6943272617716975</v>
      </c>
      <c r="E292" s="447">
        <f>'PJ-čistoća-rashod-ok'!E167+'PJ-PiJP-rashod-ok'!E165+'PJ-GiPU-rashod-ok'!E166+'PJ PARKING RASHOD'!E165+'PJ-ZS-rashod-ok'!E165</f>
        <v>100000</v>
      </c>
      <c r="F292" s="433">
        <f aca="true" t="shared" si="23" ref="F292:F297">$E292/$E$305*100</f>
        <v>0.5752628265166596</v>
      </c>
      <c r="G292" s="383">
        <f aca="true" t="shared" si="24" ref="G292:G298">E292/C292*100</f>
        <v>100</v>
      </c>
    </row>
    <row r="293" spans="1:7" ht="12.75">
      <c r="A293" s="414" t="s">
        <v>312</v>
      </c>
      <c r="B293" s="312"/>
      <c r="C293" s="327">
        <f>'PJ-čistoća-rashod-ok'!C168+'PJ-PiJP-rashod-ok'!C166+'PJ-GiPU-rashod-ok'!C167+'PJ PARKING RASHOD'!C166+'PJ-ZS-rashod-ok'!C166</f>
        <v>0</v>
      </c>
      <c r="D293" s="319">
        <f t="shared" si="22"/>
        <v>0</v>
      </c>
      <c r="E293" s="180">
        <f>'PJ-čistoća-rashod-ok'!E168+'PJ-PiJP-rashod-ok'!E166+'PJ-GiPU-rashod-ok'!E167+'PJ PARKING RASHOD'!E166+'PJ-ZS-rashod-ok'!E166</f>
        <v>0</v>
      </c>
      <c r="F293" s="319">
        <f t="shared" si="23"/>
        <v>0</v>
      </c>
      <c r="G293" s="384" t="e">
        <f t="shared" si="24"/>
        <v>#DIV/0!</v>
      </c>
    </row>
    <row r="294" spans="1:7" ht="12.75">
      <c r="A294" s="414" t="s">
        <v>313</v>
      </c>
      <c r="B294" s="312"/>
      <c r="C294" s="327">
        <f>'PJ-čistoća-rashod-ok'!C169+'PJ-PiJP-rashod-ok'!C167+'PJ-GiPU-rashod-ok'!C168+'PJ PARKING RASHOD'!C167+'PJ-ZS-rashod-ok'!C167</f>
        <v>2000</v>
      </c>
      <c r="D294" s="319">
        <f t="shared" si="22"/>
        <v>0.013886545235433949</v>
      </c>
      <c r="E294" s="180">
        <f>'PJ-čistoća-rashod-ok'!E169+'PJ-PiJP-rashod-ok'!E167+'PJ-GiPU-rashod-ok'!E168+'PJ PARKING RASHOD'!E167+'PJ-ZS-rashod-ok'!E167</f>
        <v>2000</v>
      </c>
      <c r="F294" s="319">
        <f t="shared" si="23"/>
        <v>0.011505256530333192</v>
      </c>
      <c r="G294" s="384">
        <f t="shared" si="24"/>
        <v>100</v>
      </c>
    </row>
    <row r="295" spans="1:7" ht="12.75">
      <c r="A295" s="414" t="s">
        <v>314</v>
      </c>
      <c r="B295" s="79"/>
      <c r="C295" s="327">
        <f>'PJ-čistoća-rashod-ok'!C170+'PJ-PiJP-rashod-ok'!C168+'PJ-GiPU-rashod-ok'!C169+'PJ PARKING RASHOD'!C168+'PJ-ZS-rashod-ok'!C168</f>
        <v>0</v>
      </c>
      <c r="D295" s="319">
        <f t="shared" si="22"/>
        <v>0</v>
      </c>
      <c r="E295" s="180">
        <f>'PJ-čistoća-rashod-ok'!E170+'PJ-PiJP-rashod-ok'!E168+'PJ-GiPU-rashod-ok'!E169+'PJ PARKING RASHOD'!E168+'PJ-ZS-rashod-ok'!E168</f>
        <v>0</v>
      </c>
      <c r="F295" s="319">
        <f t="shared" si="23"/>
        <v>0</v>
      </c>
      <c r="G295" s="384" t="e">
        <f t="shared" si="24"/>
        <v>#DIV/0!</v>
      </c>
    </row>
    <row r="296" spans="1:7" ht="12.75">
      <c r="A296" s="79"/>
      <c r="B296" s="79"/>
      <c r="C296" s="327">
        <f>'PJ-čistoća-rashod-ok'!C171+'PJ-PiJP-rashod-ok'!C169+'PJ-GiPU-rashod-ok'!C170+'PJ PARKING RASHOD'!C169+'PJ-ZS-rashod-ok'!C169</f>
        <v>0</v>
      </c>
      <c r="D296" s="319">
        <f t="shared" si="22"/>
        <v>0</v>
      </c>
      <c r="E296" s="180">
        <f>'PJ-čistoća-rashod-ok'!E171+'PJ-PiJP-rashod-ok'!E169+'PJ-GiPU-rashod-ok'!E170+'PJ PARKING RASHOD'!E169+'PJ-ZS-rashod-ok'!E169</f>
        <v>0</v>
      </c>
      <c r="F296" s="319">
        <f t="shared" si="23"/>
        <v>0</v>
      </c>
      <c r="G296" s="384" t="e">
        <f t="shared" si="24"/>
        <v>#DIV/0!</v>
      </c>
    </row>
    <row r="297" spans="1:7" ht="13.5" thickBot="1">
      <c r="A297" s="79"/>
      <c r="B297" s="79"/>
      <c r="C297" s="418" t="e">
        <f>'PJ-čistoća-rashod-ok'!C172+'PJ-PiJP-rashod-ok'!C170+'PJ-GiPU-rashod-ok'!#REF!+'PJ PARKING RASHOD'!C170+'PJ-ZS-rashod-ok'!C170</f>
        <v>#REF!</v>
      </c>
      <c r="D297" s="390" t="e">
        <f t="shared" si="22"/>
        <v>#REF!</v>
      </c>
      <c r="E297" s="448" t="e">
        <f>'PJ-čistoća-rashod-ok'!E172+'PJ-PiJP-rashod-ok'!E170+'PJ-GiPU-rashod-ok'!#REF!+'PJ PARKING RASHOD'!E170+'PJ-ZS-rashod-ok'!E170</f>
        <v>#REF!</v>
      </c>
      <c r="F297" s="390" t="e">
        <f t="shared" si="23"/>
        <v>#REF!</v>
      </c>
      <c r="G297" s="421" t="e">
        <f t="shared" si="24"/>
        <v>#REF!</v>
      </c>
    </row>
    <row r="298" spans="1:7" ht="13.5" thickBot="1">
      <c r="A298" s="316">
        <v>48</v>
      </c>
      <c r="B298" s="316" t="s">
        <v>122</v>
      </c>
      <c r="C298" s="391">
        <f>'PJ-čistoća-rashod-ok'!C173+'PJ-PiJP-rashod-ok'!C171+'PJ-GiPU-rashod-ok'!C171+'PJ PARKING RASHOD'!C171+'PJ-ZS-rashod-ok'!C171</f>
        <v>102000</v>
      </c>
      <c r="D298" s="317">
        <f t="shared" si="22"/>
        <v>0.7082138070071314</v>
      </c>
      <c r="E298" s="510">
        <f>'PJ-čistoća-rashod-ok'!E173+'PJ-PiJP-rashod-ok'!E171+'PJ-GiPU-rashod-ok'!E171+'PJ PARKING RASHOD'!E171+'PJ-ZS-rashod-ok'!E171</f>
        <v>102000</v>
      </c>
      <c r="F298" s="317">
        <f>$E298/$E$305*100</f>
        <v>0.5867680830469928</v>
      </c>
      <c r="G298" s="385">
        <f t="shared" si="24"/>
        <v>100</v>
      </c>
    </row>
    <row r="299" spans="1:7" ht="13.5" thickBot="1">
      <c r="A299" s="79"/>
      <c r="B299" s="79"/>
      <c r="C299" s="79"/>
      <c r="D299" s="286"/>
      <c r="E299" s="79"/>
      <c r="F299" s="286"/>
      <c r="G299" s="313"/>
    </row>
    <row r="300" spans="1:7" ht="12.75">
      <c r="A300" s="414" t="s">
        <v>315</v>
      </c>
      <c r="B300" s="79"/>
      <c r="C300" s="326">
        <f>'PJ-čistoća-rashod-ok'!C175+'PJ-PiJP-rashod-ok'!C173+'PJ-GiPU-rashod-ok'!C173+'PJ PARKING RASHOD'!C173+'PJ-ZS-rashod-ok'!C173</f>
        <v>190000</v>
      </c>
      <c r="D300" s="433">
        <f t="shared" si="22"/>
        <v>1.3192217973662252</v>
      </c>
      <c r="E300" s="447">
        <f>'PJ-čistoća-rashod-ok'!E175+'PJ-PiJP-rashod-ok'!E173+'PJ-GiPU-rashod-ok'!E173+'PJ PARKING RASHOD'!E173+'PJ-ZS-rashod-ok'!E173</f>
        <v>190000</v>
      </c>
      <c r="F300" s="498">
        <f>$E300/$E$305*100</f>
        <v>1.0929993703816532</v>
      </c>
      <c r="G300" s="386">
        <f>E300/C300*100</f>
        <v>100</v>
      </c>
    </row>
    <row r="301" spans="1:7" ht="13.5" thickBot="1">
      <c r="A301" s="414" t="s">
        <v>316</v>
      </c>
      <c r="B301" s="79"/>
      <c r="C301" s="418">
        <f>'PJ-čistoća-rashod-ok'!C176+'PJ-PiJP-rashod-ok'!C174+'PJ-GiPU-rashod-ok'!C174+'PJ PARKING RASHOD'!C174+'PJ-ZS-rashod-ok'!C174</f>
        <v>66000</v>
      </c>
      <c r="D301" s="390">
        <f t="shared" si="22"/>
        <v>0.45825599276932033</v>
      </c>
      <c r="E301" s="448">
        <f>'PJ-čistoća-rashod-ok'!E176+'PJ-PiJP-rashod-ok'!E174+'PJ-GiPU-rashod-ok'!E174+'PJ PARKING RASHOD'!E174+'PJ-ZS-rashod-ok'!E174</f>
        <v>69000</v>
      </c>
      <c r="F301" s="334">
        <f>$E301/$E$305*100</f>
        <v>0.3969313502964951</v>
      </c>
      <c r="G301" s="388">
        <f>E301/C301*100</f>
        <v>104.54545454545455</v>
      </c>
    </row>
    <row r="302" spans="1:7" ht="13.5" thickBot="1">
      <c r="A302" s="79"/>
      <c r="B302" s="79"/>
      <c r="C302" s="180"/>
      <c r="D302" s="286"/>
      <c r="E302" s="511"/>
      <c r="F302" s="286"/>
      <c r="G302" s="313"/>
    </row>
    <row r="303" spans="1:7" ht="13.5" thickBot="1">
      <c r="A303" s="302">
        <v>71</v>
      </c>
      <c r="B303" s="79"/>
      <c r="C303" s="391">
        <f>'PJ-čistoća-rashod-ok'!C178+'PJ-PiJP-rashod-ok'!C176+'PJ-GiPU-rashod-ok'!C176+'PJ PARKING RASHOD'!C176+'PJ-ZS-rashod-ok'!C176</f>
        <v>256000</v>
      </c>
      <c r="D303" s="317">
        <f t="shared" si="22"/>
        <v>1.7774777901355454</v>
      </c>
      <c r="E303" s="510">
        <f>'PJ-čistoća-rashod-ok'!E178+'PJ-PiJP-rashod-ok'!E176+'PJ-GiPU-rashod-ok'!E176+'PJ PARKING RASHOD'!E176+'PJ-ZS-rashod-ok'!E176</f>
        <v>259000</v>
      </c>
      <c r="F303" s="317">
        <f>$E303/$E$305*100</f>
        <v>1.4899307206781482</v>
      </c>
      <c r="G303" s="385">
        <f>E303/C303*100</f>
        <v>101.171875</v>
      </c>
    </row>
    <row r="304" spans="1:7" ht="13.5" thickBot="1">
      <c r="A304" s="416"/>
      <c r="B304" s="416"/>
      <c r="C304" s="329"/>
      <c r="D304" s="336"/>
      <c r="E304" s="329"/>
      <c r="F304" s="336"/>
      <c r="G304" s="313"/>
    </row>
    <row r="305" spans="1:7" ht="13.5" thickBot="1">
      <c r="A305" s="79"/>
      <c r="B305" s="316" t="s">
        <v>102</v>
      </c>
      <c r="C305" s="391">
        <f>'PJ-čistoća-rashod-ok'!C180+'PJ-PiJP-rashod-ok'!C178+'PJ-GiPU-rashod-ok'!C178+'PJ PARKING RASHOD'!C178+'PJ-ZS-rashod-ok'!C178</f>
        <v>14402430.31</v>
      </c>
      <c r="D305" s="317">
        <f t="shared" si="22"/>
        <v>100</v>
      </c>
      <c r="E305" s="391">
        <f>'PJ-čistoća-rashod-ok'!E180+'PJ-PiJP-rashod-ok'!E178+'PJ-GiPU-rashod-ok'!E178+'PJ PARKING RASHOD'!E178+'PJ-ZS-rashod-ok'!E178</f>
        <v>17383358.5955</v>
      </c>
      <c r="F305" s="317">
        <f>$E305/$E$305*100</f>
        <v>100</v>
      </c>
      <c r="G305" s="389">
        <f>E305/C305*100</f>
        <v>120.69739774009017</v>
      </c>
    </row>
    <row r="306" spans="1:7" ht="12.75">
      <c r="A306" s="79"/>
      <c r="B306" s="302"/>
      <c r="C306" s="181"/>
      <c r="D306" s="305"/>
      <c r="E306" s="181"/>
      <c r="F306" s="187"/>
      <c r="G306" s="337"/>
    </row>
    <row r="307" spans="1:7" ht="12.75">
      <c r="A307" s="79"/>
      <c r="B307" s="161"/>
      <c r="C307" s="161"/>
      <c r="D307" s="161"/>
      <c r="E307" s="161"/>
      <c r="F307" s="161"/>
      <c r="G307" s="161"/>
    </row>
    <row r="308" spans="1:7" ht="12.75">
      <c r="A308" s="161"/>
      <c r="B308" s="161"/>
      <c r="C308" s="161"/>
      <c r="D308" s="161"/>
      <c r="E308" s="161"/>
      <c r="F308" s="161"/>
      <c r="G308" s="161"/>
    </row>
    <row r="309" spans="1:7" ht="12.75">
      <c r="A309" s="161"/>
      <c r="B309" s="161"/>
      <c r="C309" s="122"/>
      <c r="D309" s="161"/>
      <c r="E309" s="161"/>
      <c r="F309" s="161"/>
      <c r="G309" s="161"/>
    </row>
    <row r="310" spans="1:7" ht="12.75">
      <c r="A310" s="161"/>
      <c r="B310" s="161"/>
      <c r="C310" s="122"/>
      <c r="D310" s="161"/>
      <c r="E310" s="161"/>
      <c r="F310" s="161"/>
      <c r="G310" s="161"/>
    </row>
    <row r="311" spans="1:7" ht="12.75">
      <c r="A311" s="161"/>
      <c r="B311" s="161"/>
      <c r="C311" s="122"/>
      <c r="D311" s="161"/>
      <c r="E311" s="161"/>
      <c r="F311" s="161"/>
      <c r="G311" s="161"/>
    </row>
    <row r="312" spans="1:7" ht="12.75">
      <c r="A312" s="161"/>
      <c r="B312" s="161"/>
      <c r="C312" s="122"/>
      <c r="D312" s="161"/>
      <c r="E312" s="161"/>
      <c r="F312" s="161"/>
      <c r="G312" s="161"/>
    </row>
    <row r="313" ht="13.5">
      <c r="C313" s="60"/>
    </row>
    <row r="314" ht="13.5">
      <c r="C314" s="60"/>
    </row>
    <row r="327" spans="1:8" ht="14.25">
      <c r="A327" s="17"/>
      <c r="B327" s="17"/>
      <c r="C327" s="17"/>
      <c r="D327" s="17"/>
      <c r="E327" s="17"/>
      <c r="F327" s="17"/>
      <c r="G327" s="17"/>
      <c r="H327" s="17"/>
    </row>
    <row r="328" spans="1:8" ht="14.25">
      <c r="A328" s="17"/>
      <c r="B328" s="17"/>
      <c r="C328" s="17"/>
      <c r="D328" s="17"/>
      <c r="E328" s="17"/>
      <c r="F328" s="17"/>
      <c r="G328" s="17"/>
      <c r="H328" s="17"/>
    </row>
    <row r="329" spans="1:8" ht="14.25">
      <c r="A329" s="17"/>
      <c r="B329" s="17"/>
      <c r="C329" s="17"/>
      <c r="D329" s="17"/>
      <c r="E329" s="17"/>
      <c r="F329" s="17"/>
      <c r="G329" s="17"/>
      <c r="H329" s="17"/>
    </row>
    <row r="330" spans="1:8" ht="14.25">
      <c r="A330" s="17"/>
      <c r="B330" s="17"/>
      <c r="C330" s="17"/>
      <c r="D330" s="17"/>
      <c r="E330" s="17"/>
      <c r="F330" s="17"/>
      <c r="G330" s="17"/>
      <c r="H330" s="17"/>
    </row>
    <row r="331" spans="6:8" ht="14.25">
      <c r="F331" s="16"/>
      <c r="G331" s="31"/>
      <c r="H331" s="17"/>
    </row>
    <row r="332" spans="2:8" ht="14.25">
      <c r="B332" s="25"/>
      <c r="C332" s="20"/>
      <c r="F332" s="16"/>
      <c r="G332" s="31"/>
      <c r="H332" s="17"/>
    </row>
    <row r="333" spans="2:8" ht="14.25">
      <c r="B333" s="25"/>
      <c r="F333" s="16"/>
      <c r="G333" s="1"/>
      <c r="H333" s="17"/>
    </row>
    <row r="334" spans="3:8" ht="15.75">
      <c r="C334" s="24"/>
      <c r="D334" s="29"/>
      <c r="F334" s="16"/>
      <c r="G334" s="1"/>
      <c r="H334" s="17"/>
    </row>
    <row r="335" spans="6:8" ht="14.25">
      <c r="F335" s="16"/>
      <c r="G335" s="1"/>
      <c r="H335" s="17"/>
    </row>
    <row r="336" spans="3:8" ht="15.75">
      <c r="C336" s="6"/>
      <c r="D336" s="30"/>
      <c r="F336" s="16"/>
      <c r="G336" s="1"/>
      <c r="H336" s="17"/>
    </row>
    <row r="337" spans="1:8" ht="14.25">
      <c r="A337" s="23"/>
      <c r="B337" s="26"/>
      <c r="H337" s="17"/>
    </row>
    <row r="338" spans="3:8" ht="15.75">
      <c r="C338" s="24"/>
      <c r="H338" s="17"/>
    </row>
    <row r="339" spans="2:8" ht="15">
      <c r="B339" s="27"/>
      <c r="C339" s="28"/>
      <c r="D339" s="27"/>
      <c r="E339" s="27"/>
      <c r="F339" s="27"/>
      <c r="G339" s="27"/>
      <c r="H339" s="17"/>
    </row>
    <row r="340" ht="14.25">
      <c r="H340" s="17"/>
    </row>
    <row r="341" ht="14.25">
      <c r="H341" s="17"/>
    </row>
    <row r="342" ht="14.25">
      <c r="H342" s="17"/>
    </row>
    <row r="343" ht="14.25">
      <c r="H343" s="17"/>
    </row>
    <row r="344" ht="14.25">
      <c r="H344" s="17"/>
    </row>
    <row r="345" ht="14.25">
      <c r="H345" s="17"/>
    </row>
    <row r="346" ht="14.25">
      <c r="H346" s="17"/>
    </row>
    <row r="347" ht="14.25">
      <c r="H347" s="17"/>
    </row>
    <row r="348" ht="14.25">
      <c r="H348" s="17"/>
    </row>
    <row r="349" ht="14.25">
      <c r="H349" s="17"/>
    </row>
    <row r="350" ht="14.25">
      <c r="H350" s="17"/>
    </row>
    <row r="351" ht="14.25">
      <c r="H351" s="17"/>
    </row>
    <row r="352" ht="14.25">
      <c r="H352" s="17"/>
    </row>
    <row r="353" ht="14.25">
      <c r="H353" s="17"/>
    </row>
    <row r="354" ht="14.25">
      <c r="H354" s="17"/>
    </row>
    <row r="355" ht="14.25">
      <c r="H355" s="17"/>
    </row>
    <row r="356" ht="14.25">
      <c r="H356" s="17"/>
    </row>
    <row r="357" ht="14.25">
      <c r="H357" s="17"/>
    </row>
    <row r="358" ht="14.25">
      <c r="H358" s="17"/>
    </row>
    <row r="359" ht="14.25">
      <c r="H359" s="17"/>
    </row>
    <row r="360" ht="14.25">
      <c r="H360" s="17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</sheetData>
  <sheetProtection/>
  <hyperlinks>
    <hyperlink ref="B66" r:id="rId1" display="www.ivanj.net"/>
    <hyperlink ref="B6" r:id="rId2" display="www.ivanj.net"/>
    <hyperlink ref="B127" r:id="rId3" display="www.ivanj.net"/>
    <hyperlink ref="B191" r:id="rId4" display="www.ivanj.net"/>
  </hyperlinks>
  <printOptions/>
  <pageMargins left="0.7480314960629921" right="0.15748031496062992" top="0.3937007874015748" bottom="0.1968503937007874" header="0.5118110236220472" footer="0.5118110236220472"/>
  <pageSetup horizontalDpi="600" verticalDpi="600" orientation="portrait" scale="93" r:id="rId6"/>
  <colBreaks count="1" manualBreakCount="1">
    <brk id="7" max="65535" man="1"/>
  </col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0"/>
  <sheetViews>
    <sheetView zoomScalePageLayoutView="0" workbookViewId="0" topLeftCell="A64">
      <selection activeCell="I70" sqref="I70"/>
    </sheetView>
  </sheetViews>
  <sheetFormatPr defaultColWidth="9.140625" defaultRowHeight="12.75"/>
  <cols>
    <col min="1" max="1" width="4.140625" style="34" customWidth="1"/>
    <col min="2" max="2" width="30.00390625" style="34" customWidth="1"/>
    <col min="3" max="3" width="16.421875" style="34" customWidth="1"/>
    <col min="4" max="4" width="10.28125" style="34" customWidth="1"/>
    <col min="5" max="5" width="16.421875" style="34" customWidth="1"/>
    <col min="6" max="6" width="10.28125" style="34" customWidth="1"/>
    <col min="7" max="7" width="10.140625" style="34" bestFit="1" customWidth="1"/>
    <col min="8" max="8" width="9.140625" style="34" customWidth="1"/>
    <col min="9" max="9" width="18.140625" style="34" customWidth="1"/>
    <col min="10" max="16384" width="9.140625" style="34" customWidth="1"/>
  </cols>
  <sheetData>
    <row r="1" spans="2:7" ht="13.5">
      <c r="B1" s="35" t="s">
        <v>166</v>
      </c>
      <c r="F1"/>
      <c r="G1" s="50" t="s">
        <v>181</v>
      </c>
    </row>
    <row r="2" spans="2:7" ht="13.5">
      <c r="B2" s="37" t="s">
        <v>33</v>
      </c>
      <c r="C2" s="34" t="s">
        <v>218</v>
      </c>
      <c r="F2" s="45"/>
      <c r="G2" s="50"/>
    </row>
    <row r="3" spans="1:7" ht="13.5">
      <c r="A3" s="162"/>
      <c r="B3" s="37" t="s">
        <v>34</v>
      </c>
      <c r="C3" s="34" t="s">
        <v>219</v>
      </c>
      <c r="F3" s="45"/>
      <c r="G3" s="50"/>
    </row>
    <row r="4" spans="2:7" ht="18">
      <c r="B4" s="38" t="s">
        <v>35</v>
      </c>
      <c r="C4" s="34" t="s">
        <v>220</v>
      </c>
      <c r="F4" s="51"/>
      <c r="G4" s="48"/>
    </row>
    <row r="5" spans="3:7" ht="13.5">
      <c r="C5" s="34" t="s">
        <v>378</v>
      </c>
      <c r="F5" s="48"/>
      <c r="G5" s="48"/>
    </row>
    <row r="6" spans="1:7" ht="13.5">
      <c r="A6" s="149"/>
      <c r="B6" s="124" t="s">
        <v>79</v>
      </c>
      <c r="C6" s="45"/>
      <c r="D6" s="45"/>
      <c r="E6" s="45"/>
      <c r="F6" s="48"/>
      <c r="G6" s="48"/>
    </row>
    <row r="7" spans="1:7" ht="13.5">
      <c r="A7" s="45"/>
      <c r="B7" s="123"/>
      <c r="C7" s="45"/>
      <c r="D7" s="45"/>
      <c r="E7" s="45"/>
      <c r="F7" s="48"/>
      <c r="G7" s="48"/>
    </row>
    <row r="8" spans="1:7" ht="13.5">
      <c r="A8" s="45"/>
      <c r="B8" s="123"/>
      <c r="C8" s="45"/>
      <c r="D8" s="45"/>
      <c r="E8" s="45"/>
      <c r="F8" s="48"/>
      <c r="G8" s="48"/>
    </row>
    <row r="9" spans="1:7" ht="15.75">
      <c r="A9" s="52"/>
      <c r="B9" s="53" t="s">
        <v>374</v>
      </c>
      <c r="D9" s="49"/>
      <c r="E9" s="45"/>
      <c r="F9" s="48"/>
      <c r="G9" s="45"/>
    </row>
    <row r="10" spans="1:7" ht="13.5">
      <c r="A10" s="45"/>
      <c r="B10" s="45"/>
      <c r="D10" s="45"/>
      <c r="E10" s="45"/>
      <c r="F10" s="48"/>
      <c r="G10" s="45"/>
    </row>
    <row r="11" spans="1:7" ht="15.75">
      <c r="A11" s="45"/>
      <c r="B11" s="57" t="s">
        <v>148</v>
      </c>
      <c r="D11" s="58"/>
      <c r="E11" s="45"/>
      <c r="F11" s="48"/>
      <c r="G11" s="45"/>
    </row>
    <row r="13" spans="1:7" ht="13.5">
      <c r="A13" s="122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2">
        <v>7</v>
      </c>
    </row>
    <row r="14" spans="1:4" ht="14.25" thickBot="1">
      <c r="A14" s="60"/>
      <c r="C14" s="64"/>
      <c r="D14" s="64"/>
    </row>
    <row r="15" spans="1:8" ht="14.25" thickBot="1">
      <c r="A15" s="151"/>
      <c r="B15" s="102" t="s">
        <v>43</v>
      </c>
      <c r="C15" s="285">
        <v>2016</v>
      </c>
      <c r="D15" s="134" t="s">
        <v>18</v>
      </c>
      <c r="E15" s="285">
        <v>2017</v>
      </c>
      <c r="F15" s="134" t="s">
        <v>18</v>
      </c>
      <c r="G15" s="150"/>
      <c r="H15" s="100"/>
    </row>
    <row r="16" spans="1:8" ht="14.25" thickBot="1">
      <c r="A16" s="60"/>
      <c r="C16" s="294" t="s">
        <v>16</v>
      </c>
      <c r="D16" s="295" t="s">
        <v>15</v>
      </c>
      <c r="E16" s="294" t="s">
        <v>16</v>
      </c>
      <c r="F16" s="295" t="s">
        <v>15</v>
      </c>
      <c r="G16" s="209"/>
      <c r="H16" s="100"/>
    </row>
    <row r="17" spans="1:8" ht="14.25" thickBot="1">
      <c r="A17" s="60"/>
      <c r="G17" s="100"/>
      <c r="H17" s="100"/>
    </row>
    <row r="18" spans="1:8" ht="14.25" thickBot="1">
      <c r="A18" s="152" t="s">
        <v>0</v>
      </c>
      <c r="B18" s="83" t="s">
        <v>201</v>
      </c>
      <c r="C18" s="207">
        <f>+'PJ-čistoća-prihod-ok'!C46</f>
        <v>9078717</v>
      </c>
      <c r="D18" s="210">
        <f>+C18/$C$33*100</f>
        <v>62.7839039154339</v>
      </c>
      <c r="E18" s="207">
        <f>+'PJ-čistoća-prihod-ok'!E46</f>
        <v>11994917</v>
      </c>
      <c r="F18" s="210">
        <f>+E18/$E$33*100</f>
        <v>68.93267176666609</v>
      </c>
      <c r="G18" s="99"/>
      <c r="H18" s="100"/>
    </row>
    <row r="19" spans="1:8" ht="13.5">
      <c r="A19" s="60"/>
      <c r="C19" s="98"/>
      <c r="D19" s="73"/>
      <c r="E19" s="98"/>
      <c r="F19" s="73"/>
      <c r="G19" s="98"/>
      <c r="H19" s="100"/>
    </row>
    <row r="20" spans="1:8" ht="14.25" thickBot="1">
      <c r="A20" s="60"/>
      <c r="C20" s="99"/>
      <c r="D20" s="73"/>
      <c r="E20" s="99"/>
      <c r="F20" s="73"/>
      <c r="G20" s="99"/>
      <c r="H20" s="100"/>
    </row>
    <row r="21" spans="1:8" ht="14.25" thickBot="1">
      <c r="A21" s="153" t="s">
        <v>1</v>
      </c>
      <c r="B21" s="84" t="s">
        <v>44</v>
      </c>
      <c r="C21" s="207">
        <f>+'PJ-PiJP-prihod-ok'!C37</f>
        <v>2311800</v>
      </c>
      <c r="D21" s="210">
        <f>+C21/$C$33*100</f>
        <v>15.987262194834367</v>
      </c>
      <c r="E21" s="207">
        <f>+'PJ-PiJP-prihod-ok'!E37</f>
        <v>2283000</v>
      </c>
      <c r="F21" s="210">
        <f>+E21/$E$33*100</f>
        <v>13.119998216185962</v>
      </c>
      <c r="G21" s="99"/>
      <c r="H21" s="100"/>
    </row>
    <row r="22" spans="1:8" ht="13.5">
      <c r="A22" s="70"/>
      <c r="B22" s="69"/>
      <c r="C22" s="97"/>
      <c r="D22" s="73"/>
      <c r="E22" s="97"/>
      <c r="F22" s="73"/>
      <c r="G22" s="99"/>
      <c r="H22" s="100"/>
    </row>
    <row r="23" spans="1:8" ht="14.25" thickBot="1">
      <c r="A23" s="60"/>
      <c r="C23" s="98"/>
      <c r="D23" s="73"/>
      <c r="E23" s="98"/>
      <c r="F23" s="73"/>
      <c r="G23" s="99"/>
      <c r="H23" s="100"/>
    </row>
    <row r="24" spans="1:8" ht="14.25" thickBot="1">
      <c r="A24" s="154" t="s">
        <v>2</v>
      </c>
      <c r="B24" s="85" t="s">
        <v>45</v>
      </c>
      <c r="C24" s="207">
        <f>+'PJ-GiPU-prihod-ok'!C33</f>
        <v>1811745</v>
      </c>
      <c r="D24" s="210">
        <f>+C24/$C$33*100</f>
        <v>12.529129831810792</v>
      </c>
      <c r="E24" s="207">
        <f>+'PJ-GiPU-prihod-ok'!E33</f>
        <v>1805000</v>
      </c>
      <c r="F24" s="210">
        <f>+E24/$E$33*100</f>
        <v>10.373016548495691</v>
      </c>
      <c r="G24" s="99"/>
      <c r="H24" s="100"/>
    </row>
    <row r="25" spans="1:8" ht="13.5">
      <c r="A25" s="154"/>
      <c r="B25" s="85"/>
      <c r="C25" s="97"/>
      <c r="D25" s="170"/>
      <c r="E25" s="97"/>
      <c r="F25" s="170"/>
      <c r="G25" s="99"/>
      <c r="H25" s="100"/>
    </row>
    <row r="26" spans="1:8" ht="14.25" thickBot="1">
      <c r="A26" s="70"/>
      <c r="B26" s="69"/>
      <c r="C26" s="97"/>
      <c r="D26" s="170"/>
      <c r="E26" s="97"/>
      <c r="F26" s="170"/>
      <c r="G26" s="99"/>
      <c r="H26" s="100"/>
    </row>
    <row r="27" spans="1:8" ht="14.25" thickBot="1">
      <c r="A27" s="203">
        <v>4</v>
      </c>
      <c r="B27" s="94" t="s">
        <v>358</v>
      </c>
      <c r="C27" s="207">
        <f>+'PJ PARKING PRHOD'!C31</f>
        <v>1218000</v>
      </c>
      <c r="D27" s="210">
        <f>+C27/$C$33*100</f>
        <v>8.423083897096747</v>
      </c>
      <c r="E27" s="207">
        <f>+'PJ PARKING PRHOD'!E31</f>
        <v>1318000</v>
      </c>
      <c r="F27" s="210">
        <f>+E27/$E$33*100</f>
        <v>7.574313468652255</v>
      </c>
      <c r="G27" s="99"/>
      <c r="H27" s="100"/>
    </row>
    <row r="28" spans="1:8" ht="13.5">
      <c r="A28" s="70"/>
      <c r="B28" s="69"/>
      <c r="C28" s="97"/>
      <c r="D28" s="170"/>
      <c r="E28" s="97"/>
      <c r="F28" s="170"/>
      <c r="G28" s="99"/>
      <c r="H28" s="100"/>
    </row>
    <row r="29" spans="1:8" ht="14.25" thickBot="1">
      <c r="A29" s="70"/>
      <c r="B29" s="69"/>
      <c r="C29" s="97"/>
      <c r="D29" s="170"/>
      <c r="E29" s="97"/>
      <c r="F29" s="170"/>
      <c r="G29" s="99"/>
      <c r="H29" s="100"/>
    </row>
    <row r="30" spans="1:10" ht="14.25" thickBot="1">
      <c r="A30" s="293" t="s">
        <v>4</v>
      </c>
      <c r="B30" s="224" t="s">
        <v>46</v>
      </c>
      <c r="C30" s="207">
        <f>'PJ-ZS-rashod-ok'!C179</f>
        <v>40000</v>
      </c>
      <c r="D30" s="210">
        <f>+C30/$C$33*100</f>
        <v>0.2766201608241953</v>
      </c>
      <c r="E30" s="207">
        <f>'PJ-ZS-rashod-ok'!E179</f>
        <v>0</v>
      </c>
      <c r="F30" s="210">
        <f>+E30/$E$33*100</f>
        <v>0</v>
      </c>
      <c r="G30" s="99"/>
      <c r="H30" s="97"/>
      <c r="I30" s="170"/>
      <c r="J30" s="99"/>
    </row>
    <row r="31" spans="3:8" ht="13.5">
      <c r="C31" s="98"/>
      <c r="D31" s="67"/>
      <c r="E31" s="98"/>
      <c r="F31" s="67"/>
      <c r="G31" s="99"/>
      <c r="H31" s="100"/>
    </row>
    <row r="32" spans="7:9" ht="14.25" thickBot="1">
      <c r="G32" s="100"/>
      <c r="H32" s="100"/>
      <c r="I32" s="64"/>
    </row>
    <row r="33" spans="2:9" ht="14.25" thickBot="1">
      <c r="B33" s="75" t="s">
        <v>47</v>
      </c>
      <c r="C33" s="207">
        <f>+SUM(C18:C30)</f>
        <v>14460262</v>
      </c>
      <c r="D33" s="210">
        <f>+SUM(D18:D30)</f>
        <v>100</v>
      </c>
      <c r="E33" s="207">
        <f>+SUM(E18:E30)</f>
        <v>17400917</v>
      </c>
      <c r="F33" s="210">
        <f>+SUM(F18:F30)</f>
        <v>99.99999999999999</v>
      </c>
      <c r="G33" s="99"/>
      <c r="H33" s="100"/>
      <c r="I33" s="64"/>
    </row>
    <row r="34" spans="3:9" ht="13.5">
      <c r="C34" s="64"/>
      <c r="D34" s="64"/>
      <c r="E34" s="64"/>
      <c r="F34" s="64"/>
      <c r="G34" s="72"/>
      <c r="I34" s="64"/>
    </row>
    <row r="35" spans="3:9" ht="13.5">
      <c r="C35" s="64"/>
      <c r="D35" s="64"/>
      <c r="E35" s="64"/>
      <c r="F35" s="64"/>
      <c r="G35" s="72"/>
      <c r="I35" s="64"/>
    </row>
    <row r="36" spans="5:7" ht="13.5">
      <c r="E36" s="64"/>
      <c r="F36" s="64"/>
      <c r="G36" s="72"/>
    </row>
    <row r="37" spans="1:7" ht="13.5">
      <c r="A37" s="35"/>
      <c r="B37" s="35"/>
      <c r="C37" s="64"/>
      <c r="D37" s="64"/>
      <c r="E37" s="64"/>
      <c r="F37" s="64"/>
      <c r="G37" s="72"/>
    </row>
    <row r="38" spans="4:7" ht="13.5">
      <c r="D38" s="64"/>
      <c r="E38" s="64"/>
      <c r="F38" s="64"/>
      <c r="G38" s="72"/>
    </row>
    <row r="39" spans="1:6" ht="13.5">
      <c r="A39" s="69"/>
      <c r="B39" s="69"/>
      <c r="D39" s="64"/>
      <c r="E39" s="72"/>
      <c r="F39" s="86"/>
    </row>
    <row r="40" spans="4:7" ht="13.5">
      <c r="D40" s="64"/>
      <c r="E40" s="69"/>
      <c r="F40" s="86"/>
      <c r="G40" s="72"/>
    </row>
    <row r="41" spans="4:7" ht="13.5">
      <c r="D41" s="64"/>
      <c r="E41" s="69"/>
      <c r="F41" s="86"/>
      <c r="G41" s="72"/>
    </row>
    <row r="42" spans="1:7" ht="13.5">
      <c r="A42" s="69"/>
      <c r="B42" s="69"/>
      <c r="D42" s="64"/>
      <c r="E42" s="72"/>
      <c r="F42" s="86"/>
      <c r="G42" s="72"/>
    </row>
    <row r="43" spans="1:7" ht="13.5">
      <c r="A43" s="69"/>
      <c r="B43" s="69"/>
      <c r="D43" s="64"/>
      <c r="E43" s="69"/>
      <c r="F43" s="86"/>
      <c r="G43" s="72"/>
    </row>
    <row r="44" spans="4:7" ht="13.5">
      <c r="D44" s="64"/>
      <c r="E44" s="69"/>
      <c r="F44" s="86"/>
      <c r="G44" s="72"/>
    </row>
    <row r="45" spans="1:7" ht="13.5">
      <c r="A45" s="69"/>
      <c r="B45" s="69"/>
      <c r="C45" s="64"/>
      <c r="D45" s="64"/>
      <c r="E45" s="72"/>
      <c r="F45" s="86"/>
      <c r="G45" s="72"/>
    </row>
    <row r="46" spans="1:7" ht="13.5">
      <c r="A46" s="69"/>
      <c r="B46" s="69"/>
      <c r="C46" s="64"/>
      <c r="D46" s="64"/>
      <c r="E46" s="69"/>
      <c r="F46" s="86"/>
      <c r="G46" s="72"/>
    </row>
    <row r="47" spans="1:7" ht="13.5">
      <c r="A47" s="69"/>
      <c r="B47" s="69"/>
      <c r="D47" s="64"/>
      <c r="E47" s="69"/>
      <c r="F47" s="86"/>
      <c r="G47" s="72"/>
    </row>
    <row r="48" spans="1:7" ht="13.5">
      <c r="A48" s="69"/>
      <c r="B48" s="69"/>
      <c r="C48" s="64"/>
      <c r="D48" s="64"/>
      <c r="E48" s="72"/>
      <c r="F48" s="86"/>
      <c r="G48" s="72"/>
    </row>
    <row r="49" spans="3:7" ht="13.5">
      <c r="C49" s="64"/>
      <c r="D49" s="64"/>
      <c r="E49" s="69"/>
      <c r="F49" s="86"/>
      <c r="G49" s="72"/>
    </row>
    <row r="50" spans="4:7" ht="13.5">
      <c r="D50" s="64"/>
      <c r="E50" s="69"/>
      <c r="F50" s="86"/>
      <c r="G50" s="72"/>
    </row>
    <row r="51" spans="1:7" ht="13.5">
      <c r="A51" s="61"/>
      <c r="B51" s="35"/>
      <c r="C51" s="64"/>
      <c r="D51" s="64"/>
      <c r="E51" s="72"/>
      <c r="F51" s="86"/>
      <c r="G51" s="72"/>
    </row>
    <row r="52" spans="3:7" ht="13.5">
      <c r="C52" s="64"/>
      <c r="D52" s="64"/>
      <c r="E52" s="69"/>
      <c r="F52" s="86"/>
      <c r="G52" s="72"/>
    </row>
    <row r="53" spans="3:7" ht="13.5">
      <c r="C53" s="64"/>
      <c r="D53" s="64"/>
      <c r="E53" s="69"/>
      <c r="F53" s="86"/>
      <c r="G53" s="72"/>
    </row>
    <row r="54" spans="3:7" ht="13.5">
      <c r="C54" s="64"/>
      <c r="D54" s="64"/>
      <c r="E54" s="69"/>
      <c r="F54" s="86"/>
      <c r="G54" s="72"/>
    </row>
    <row r="55" spans="3:7" ht="13.5">
      <c r="C55" s="67"/>
      <c r="D55" s="64"/>
      <c r="E55" s="67"/>
      <c r="F55" s="103"/>
      <c r="G55" s="67"/>
    </row>
    <row r="56" spans="1:7" ht="13.5">
      <c r="A56" s="45"/>
      <c r="B56" s="35" t="s">
        <v>166</v>
      </c>
      <c r="F56"/>
      <c r="G56" s="50" t="s">
        <v>180</v>
      </c>
    </row>
    <row r="57" spans="1:7" ht="13.5">
      <c r="A57" s="45"/>
      <c r="B57" s="37" t="s">
        <v>33</v>
      </c>
      <c r="C57" s="34" t="s">
        <v>218</v>
      </c>
      <c r="F57" s="45"/>
      <c r="G57" s="50"/>
    </row>
    <row r="58" spans="1:7" ht="13.5">
      <c r="A58" s="45"/>
      <c r="B58" s="37" t="s">
        <v>34</v>
      </c>
      <c r="C58" s="34" t="s">
        <v>219</v>
      </c>
      <c r="F58" s="45"/>
      <c r="G58" s="50"/>
    </row>
    <row r="59" spans="1:7" ht="18">
      <c r="A59" s="45"/>
      <c r="B59" s="38" t="s">
        <v>35</v>
      </c>
      <c r="C59" s="34" t="s">
        <v>220</v>
      </c>
      <c r="F59" s="51"/>
      <c r="G59" s="48"/>
    </row>
    <row r="60" spans="1:7" ht="13.5">
      <c r="A60" s="45"/>
      <c r="C60" s="34" t="s">
        <v>378</v>
      </c>
      <c r="F60" s="48"/>
      <c r="G60" s="48"/>
    </row>
    <row r="61" spans="1:7" ht="13.5">
      <c r="A61" s="45"/>
      <c r="B61" s="124" t="s">
        <v>79</v>
      </c>
      <c r="C61" s="45"/>
      <c r="D61" s="45"/>
      <c r="E61" s="45"/>
      <c r="F61" s="48"/>
      <c r="G61" s="48"/>
    </row>
    <row r="62" spans="1:7" ht="13.5">
      <c r="A62" s="45"/>
      <c r="B62" s="123"/>
      <c r="C62" s="45"/>
      <c r="D62" s="45"/>
      <c r="E62" s="45"/>
      <c r="F62" s="48"/>
      <c r="G62" s="48"/>
    </row>
    <row r="63" spans="1:7" ht="15.75">
      <c r="A63" s="52"/>
      <c r="B63" s="45"/>
      <c r="C63" s="53" t="s">
        <v>374</v>
      </c>
      <c r="D63" s="49"/>
      <c r="E63" s="45"/>
      <c r="F63" s="48"/>
      <c r="G63" s="45"/>
    </row>
    <row r="64" spans="1:7" ht="13.5">
      <c r="A64" s="45"/>
      <c r="B64" s="45"/>
      <c r="C64" s="45"/>
      <c r="D64" s="45"/>
      <c r="E64" s="45"/>
      <c r="F64" s="48"/>
      <c r="G64" s="45"/>
    </row>
    <row r="65" spans="1:7" ht="15.75">
      <c r="A65" s="45"/>
      <c r="B65"/>
      <c r="C65" s="57" t="s">
        <v>149</v>
      </c>
      <c r="D65" s="58"/>
      <c r="E65" s="45"/>
      <c r="F65" s="48"/>
      <c r="G65" s="45"/>
    </row>
    <row r="67" spans="1:7" ht="13.5">
      <c r="A67" s="122">
        <v>1</v>
      </c>
      <c r="B67" s="122">
        <v>2</v>
      </c>
      <c r="C67" s="122">
        <v>3</v>
      </c>
      <c r="D67" s="122">
        <v>4</v>
      </c>
      <c r="E67" s="122">
        <v>5</v>
      </c>
      <c r="F67" s="122">
        <v>6</v>
      </c>
      <c r="G67" s="122"/>
    </row>
    <row r="68" spans="3:4" ht="14.25" thickBot="1">
      <c r="C68" s="64"/>
      <c r="D68" s="64"/>
    </row>
    <row r="69" spans="1:7" ht="14.25" thickBot="1">
      <c r="A69" s="101"/>
      <c r="B69" s="102" t="s">
        <v>43</v>
      </c>
      <c r="C69" s="285">
        <v>2016</v>
      </c>
      <c r="D69" s="296" t="s">
        <v>18</v>
      </c>
      <c r="E69" s="285">
        <v>2017</v>
      </c>
      <c r="F69" s="296" t="s">
        <v>18</v>
      </c>
      <c r="G69" s="150"/>
    </row>
    <row r="70" spans="3:7" ht="14.25" thickBot="1">
      <c r="C70" s="294" t="s">
        <v>16</v>
      </c>
      <c r="D70" s="297" t="s">
        <v>15</v>
      </c>
      <c r="E70" s="294" t="s">
        <v>16</v>
      </c>
      <c r="F70" s="297" t="s">
        <v>15</v>
      </c>
      <c r="G70" s="209"/>
    </row>
    <row r="71" ht="14.25" thickBot="1">
      <c r="G71" s="100"/>
    </row>
    <row r="72" spans="1:7" ht="14.25" thickBot="1">
      <c r="A72" s="83" t="s">
        <v>0</v>
      </c>
      <c r="B72" s="83" t="s">
        <v>201</v>
      </c>
      <c r="C72" s="207">
        <f>+'PJ-čistoća-rashod-ok'!C180</f>
        <v>7233614.390000001</v>
      </c>
      <c r="D72" s="207">
        <f>+'PJ-čistoća-rashod-ok'!D180</f>
        <v>100</v>
      </c>
      <c r="E72" s="207">
        <f>+'PJ-čistoća-rashod-ok'!E180</f>
        <v>10189811.7675</v>
      </c>
      <c r="F72" s="207">
        <f>+'PJ-čistoća-rashod-ok'!F180</f>
        <v>100.00000000000001</v>
      </c>
      <c r="G72" s="99"/>
    </row>
    <row r="73" spans="3:7" ht="13.5">
      <c r="C73" s="98"/>
      <c r="D73" s="74"/>
      <c r="E73" s="98"/>
      <c r="F73" s="74"/>
      <c r="G73" s="98"/>
    </row>
    <row r="74" spans="3:7" ht="14.25" thickBot="1">
      <c r="C74" s="99"/>
      <c r="D74" s="74"/>
      <c r="E74" s="99"/>
      <c r="F74" s="74"/>
      <c r="G74" s="99"/>
    </row>
    <row r="75" spans="1:7" ht="14.25" thickBot="1">
      <c r="A75" s="84" t="s">
        <v>1</v>
      </c>
      <c r="B75" s="84" t="s">
        <v>44</v>
      </c>
      <c r="C75" s="207">
        <f>'PJ-PiJP-rashod-ok'!C178</f>
        <v>2036511.5</v>
      </c>
      <c r="D75" s="207">
        <f>'PJ-PiJP-rashod-ok'!D178</f>
        <v>100</v>
      </c>
      <c r="E75" s="207">
        <f>'PJ-PiJP-rashod-ok'!E178</f>
        <v>2006302.239</v>
      </c>
      <c r="F75" s="207">
        <f>'PJ-PiJP-rashod-ok'!F178</f>
        <v>100</v>
      </c>
      <c r="G75" s="99"/>
    </row>
    <row r="76" spans="1:7" ht="13.5">
      <c r="A76" s="69"/>
      <c r="B76" s="69"/>
      <c r="C76" s="97"/>
      <c r="D76" s="74"/>
      <c r="E76" s="97"/>
      <c r="F76" s="74"/>
      <c r="G76" s="99"/>
    </row>
    <row r="77" spans="3:7" ht="14.25" thickBot="1">
      <c r="C77" s="98"/>
      <c r="D77" s="74"/>
      <c r="E77" s="98"/>
      <c r="F77" s="74"/>
      <c r="G77" s="99"/>
    </row>
    <row r="78" spans="1:7" ht="14.25" thickBot="1">
      <c r="A78" s="85" t="s">
        <v>2</v>
      </c>
      <c r="B78" s="85" t="s">
        <v>45</v>
      </c>
      <c r="C78" s="207">
        <f>'PJ-GiPU-rashod-ok'!C178</f>
        <v>1213768.84</v>
      </c>
      <c r="D78" s="207">
        <f>'PJ-GiPU-rashod-ok'!D178</f>
        <v>100</v>
      </c>
      <c r="E78" s="207">
        <f>'PJ-GiPU-rashod-ok'!E178</f>
        <v>1226709.007</v>
      </c>
      <c r="F78" s="207">
        <f>'PJ-GiPU-rashod-ok'!F178</f>
        <v>100</v>
      </c>
      <c r="G78" s="99"/>
    </row>
    <row r="79" spans="1:7" ht="13.5">
      <c r="A79" s="69"/>
      <c r="B79" s="69"/>
      <c r="C79" s="97"/>
      <c r="D79" s="74"/>
      <c r="E79" s="97"/>
      <c r="F79" s="74"/>
      <c r="G79" s="99"/>
    </row>
    <row r="80" spans="1:7" ht="14.25" thickBot="1">
      <c r="A80" s="69"/>
      <c r="B80" s="69"/>
      <c r="C80" s="97"/>
      <c r="D80" s="74"/>
      <c r="E80" s="97"/>
      <c r="F80" s="74"/>
      <c r="G80" s="99"/>
    </row>
    <row r="81" spans="1:7" ht="14.25" thickBot="1">
      <c r="A81" s="94" t="s">
        <v>3</v>
      </c>
      <c r="B81" s="94" t="s">
        <v>358</v>
      </c>
      <c r="C81" s="207">
        <f>'PJ PARKING RASHOD'!C178</f>
        <v>684800</v>
      </c>
      <c r="D81" s="207">
        <f>'PJ PARKING RASHOD'!D178</f>
        <v>100</v>
      </c>
      <c r="E81" s="207">
        <f>'PJ PARKING RASHOD'!E178</f>
        <v>689800</v>
      </c>
      <c r="F81" s="207">
        <f>'PJ PARKING RASHOD'!F178</f>
        <v>100</v>
      </c>
      <c r="G81" s="99"/>
    </row>
    <row r="82" spans="1:7" ht="13.5">
      <c r="A82" s="69"/>
      <c r="B82" s="69"/>
      <c r="C82" s="97"/>
      <c r="D82" s="74"/>
      <c r="E82" s="97"/>
      <c r="F82" s="74"/>
      <c r="G82" s="99"/>
    </row>
    <row r="83" spans="1:7" ht="14.25" thickBot="1">
      <c r="A83" s="69"/>
      <c r="B83" s="69"/>
      <c r="C83" s="97"/>
      <c r="D83" s="74"/>
      <c r="E83" s="97"/>
      <c r="F83" s="74"/>
      <c r="G83" s="99"/>
    </row>
    <row r="84" spans="1:7" ht="14.25" thickBot="1">
      <c r="A84" s="292" t="s">
        <v>4</v>
      </c>
      <c r="B84" s="224" t="s">
        <v>46</v>
      </c>
      <c r="C84" s="207">
        <f>'PJ-ZS-rashod-ok'!C178</f>
        <v>3233735.58</v>
      </c>
      <c r="D84" s="207">
        <f>'PJ-ZS-rashod-ok'!D178</f>
        <v>100</v>
      </c>
      <c r="E84" s="207">
        <f>'PJ-ZS-rashod-ok'!E178</f>
        <v>3270735.5820000004</v>
      </c>
      <c r="F84" s="207">
        <f>'PJ-ZS-rashod-ok'!F178</f>
        <v>100</v>
      </c>
      <c r="G84" s="99"/>
    </row>
    <row r="85" spans="3:7" ht="13.5">
      <c r="C85" s="67"/>
      <c r="D85" s="67"/>
      <c r="E85" s="98"/>
      <c r="F85" s="72"/>
      <c r="G85" s="99"/>
    </row>
    <row r="86" spans="5:7" ht="14.25" thickBot="1">
      <c r="E86" s="100"/>
      <c r="G86" s="100"/>
    </row>
    <row r="87" spans="1:7" ht="14.25" thickBot="1">
      <c r="A87" s="106"/>
      <c r="B87" s="107" t="s">
        <v>48</v>
      </c>
      <c r="C87" s="105">
        <f>+SUM(C72:C84)</f>
        <v>14402430.31</v>
      </c>
      <c r="D87" s="126">
        <v>100</v>
      </c>
      <c r="E87" s="207">
        <f>+SUM(E72:E84)</f>
        <v>17383358.5955</v>
      </c>
      <c r="F87" s="298">
        <f>+SUM(F72:F84)</f>
        <v>500</v>
      </c>
      <c r="G87" s="99"/>
    </row>
    <row r="88" ht="13.5">
      <c r="F88" s="72"/>
    </row>
    <row r="89" spans="3:7" ht="13.5">
      <c r="C89" s="67"/>
      <c r="D89" s="67"/>
      <c r="E89" s="67"/>
      <c r="F89" s="72"/>
      <c r="G89" s="41"/>
    </row>
    <row r="90" spans="3:7" ht="13.5">
      <c r="C90" s="72"/>
      <c r="D90" s="72"/>
      <c r="F90" s="72"/>
      <c r="G90" s="72"/>
    </row>
    <row r="91" spans="1:7" ht="13.5">
      <c r="A91" s="61"/>
      <c r="B91" s="35"/>
      <c r="C91" s="72"/>
      <c r="D91" s="72"/>
      <c r="E91" s="67"/>
      <c r="F91" s="72"/>
      <c r="G91" s="72"/>
    </row>
    <row r="92" spans="3:7" ht="13.5">
      <c r="C92" s="72"/>
      <c r="D92" s="72"/>
      <c r="E92" s="64"/>
      <c r="F92" s="72"/>
      <c r="G92" s="41"/>
    </row>
    <row r="93" spans="3:7" ht="13.5">
      <c r="C93" s="72"/>
      <c r="D93" s="72"/>
      <c r="F93" s="72"/>
      <c r="G93" s="72"/>
    </row>
    <row r="94" spans="2:7" ht="13.5">
      <c r="B94" s="35"/>
      <c r="C94" s="71"/>
      <c r="D94" s="72"/>
      <c r="E94" s="72"/>
      <c r="F94" s="72"/>
      <c r="G94" s="72"/>
    </row>
    <row r="95" ht="13.5">
      <c r="G95" s="72"/>
    </row>
    <row r="96" spans="2:7" ht="13.5">
      <c r="B96" s="78"/>
      <c r="C96" s="79"/>
      <c r="G96" s="72"/>
    </row>
    <row r="97" spans="2:7" ht="13.5">
      <c r="B97" s="78"/>
      <c r="G97" s="72"/>
    </row>
    <row r="98" spans="3:7" ht="16.5">
      <c r="C98" s="62"/>
      <c r="D98" s="80"/>
      <c r="G98" s="72"/>
    </row>
    <row r="99" ht="13.5">
      <c r="G99" s="72"/>
    </row>
    <row r="100" spans="3:7" ht="16.5">
      <c r="C100" s="35"/>
      <c r="D100" s="76"/>
      <c r="G100" s="72"/>
    </row>
    <row r="101" spans="1:7" ht="13.5">
      <c r="A101" s="81"/>
      <c r="B101" s="82"/>
      <c r="G101" s="72"/>
    </row>
    <row r="102" ht="13.5">
      <c r="G102" s="72"/>
    </row>
    <row r="103" ht="13.5">
      <c r="G103" s="72"/>
    </row>
    <row r="104" spans="2:7" ht="13.5">
      <c r="B104" s="60"/>
      <c r="C104" s="71"/>
      <c r="D104" s="71"/>
      <c r="E104" s="60"/>
      <c r="F104" s="60"/>
      <c r="G104" s="72"/>
    </row>
    <row r="105" spans="3:7" ht="13.5">
      <c r="C105" s="64"/>
      <c r="D105" s="64"/>
      <c r="G105" s="72"/>
    </row>
    <row r="106" spans="1:7" ht="13.5">
      <c r="A106" s="35"/>
      <c r="B106" s="68"/>
      <c r="C106" s="70"/>
      <c r="D106" s="70"/>
      <c r="E106" s="70"/>
      <c r="F106" s="70"/>
      <c r="G106" s="72"/>
    </row>
    <row r="107" spans="1:7" ht="13.5">
      <c r="A107" s="35"/>
      <c r="B107" s="68"/>
      <c r="C107" s="70"/>
      <c r="D107" s="70"/>
      <c r="E107" s="70"/>
      <c r="F107" s="70"/>
      <c r="G107" s="72"/>
    </row>
    <row r="108" spans="1:7" ht="13.5">
      <c r="A108" s="35"/>
      <c r="B108" s="68"/>
      <c r="C108" s="70"/>
      <c r="D108" s="70"/>
      <c r="E108" s="70"/>
      <c r="F108" s="70"/>
      <c r="G108" s="40"/>
    </row>
    <row r="109" spans="1:6" ht="13.5">
      <c r="A109" s="35"/>
      <c r="B109" s="68"/>
      <c r="C109" s="70"/>
      <c r="D109" s="70"/>
      <c r="E109" s="70"/>
      <c r="F109" s="70"/>
    </row>
    <row r="110" spans="1:6" ht="13.5">
      <c r="A110" s="35"/>
      <c r="B110" s="68"/>
      <c r="C110" s="70"/>
      <c r="D110" s="70"/>
      <c r="E110" s="70"/>
      <c r="F110" s="70"/>
    </row>
    <row r="111" spans="1:6" ht="13.5">
      <c r="A111" s="35"/>
      <c r="B111" s="68"/>
      <c r="C111" s="70"/>
      <c r="D111" s="70"/>
      <c r="E111" s="70"/>
      <c r="F111" s="70"/>
    </row>
    <row r="112" spans="1:6" ht="13.5">
      <c r="A112" s="35"/>
      <c r="B112" s="68"/>
      <c r="C112" s="70"/>
      <c r="D112" s="70"/>
      <c r="E112" s="70"/>
      <c r="F112" s="70"/>
    </row>
    <row r="113" spans="3:6" ht="13.5">
      <c r="C113" s="71"/>
      <c r="D113" s="71"/>
      <c r="E113" s="71"/>
      <c r="F113" s="71"/>
    </row>
    <row r="115" spans="1:6" ht="13.5">
      <c r="A115" s="69"/>
      <c r="B115" s="69"/>
      <c r="C115" s="72"/>
      <c r="D115" s="72"/>
      <c r="E115" s="72"/>
      <c r="F115" s="72"/>
    </row>
    <row r="116" spans="1:6" ht="13.5">
      <c r="A116" s="64"/>
      <c r="B116" s="64"/>
      <c r="C116" s="64"/>
      <c r="D116" s="64"/>
      <c r="E116" s="64"/>
      <c r="F116" s="72"/>
    </row>
    <row r="117" spans="1:7" ht="13.5">
      <c r="A117" s="64"/>
      <c r="B117" s="64"/>
      <c r="C117" s="67"/>
      <c r="D117" s="67"/>
      <c r="E117" s="67"/>
      <c r="F117" s="72"/>
      <c r="G117" s="60"/>
    </row>
    <row r="118" spans="1:6" ht="13.5">
      <c r="A118" s="69"/>
      <c r="B118" s="69"/>
      <c r="C118" s="72"/>
      <c r="D118" s="72"/>
      <c r="E118" s="72"/>
      <c r="F118" s="72"/>
    </row>
    <row r="119" spans="1:7" ht="13.5">
      <c r="A119" s="69"/>
      <c r="B119" s="69"/>
      <c r="C119" s="72"/>
      <c r="D119" s="72"/>
      <c r="E119" s="72"/>
      <c r="F119" s="72"/>
      <c r="G119" s="70"/>
    </row>
    <row r="120" spans="1:7" ht="13.5">
      <c r="A120" s="64"/>
      <c r="B120" s="64"/>
      <c r="C120" s="64"/>
      <c r="D120" s="64"/>
      <c r="E120" s="64"/>
      <c r="F120" s="72"/>
      <c r="G120" s="70"/>
    </row>
    <row r="121" spans="1:7" ht="13.5">
      <c r="A121" s="69"/>
      <c r="B121" s="69"/>
      <c r="C121" s="72"/>
      <c r="D121" s="72"/>
      <c r="E121" s="72"/>
      <c r="F121" s="72"/>
      <c r="G121" s="70"/>
    </row>
    <row r="122" spans="1:7" ht="13.5">
      <c r="A122" s="69"/>
      <c r="B122" s="69"/>
      <c r="C122" s="72"/>
      <c r="D122" s="72"/>
      <c r="E122" s="72"/>
      <c r="F122" s="72"/>
      <c r="G122" s="70"/>
    </row>
    <row r="123" spans="1:7" ht="13.5">
      <c r="A123" s="69"/>
      <c r="B123" s="69"/>
      <c r="C123" s="72"/>
      <c r="D123" s="72"/>
      <c r="E123" s="72"/>
      <c r="F123" s="72"/>
      <c r="G123" s="70"/>
    </row>
    <row r="124" spans="1:7" ht="13.5">
      <c r="A124" s="69"/>
      <c r="B124" s="69"/>
      <c r="C124" s="72"/>
      <c r="D124" s="72"/>
      <c r="E124" s="72"/>
      <c r="F124" s="72"/>
      <c r="G124" s="70"/>
    </row>
    <row r="125" spans="1:7" ht="13.5">
      <c r="A125" s="64"/>
      <c r="B125" s="64"/>
      <c r="C125" s="72"/>
      <c r="D125" s="72"/>
      <c r="E125" s="67"/>
      <c r="F125" s="72"/>
      <c r="G125" s="70"/>
    </row>
    <row r="126" spans="1:7" ht="13.5">
      <c r="A126" s="64"/>
      <c r="B126" s="64"/>
      <c r="C126" s="72"/>
      <c r="D126" s="72"/>
      <c r="E126" s="64"/>
      <c r="F126" s="72"/>
      <c r="G126" s="87"/>
    </row>
    <row r="127" spans="1:7" ht="13.5">
      <c r="A127" s="104"/>
      <c r="B127" s="69"/>
      <c r="C127" s="72"/>
      <c r="D127" s="72"/>
      <c r="E127" s="72"/>
      <c r="F127" s="72"/>
      <c r="G127" s="64"/>
    </row>
    <row r="128" spans="1:7" ht="13.5">
      <c r="A128" s="104"/>
      <c r="B128" s="69"/>
      <c r="C128" s="72"/>
      <c r="D128" s="72"/>
      <c r="E128" s="72"/>
      <c r="F128" s="72"/>
      <c r="G128" s="72"/>
    </row>
    <row r="129" spans="1:7" ht="13.5">
      <c r="A129" s="64"/>
      <c r="B129" s="64"/>
      <c r="C129" s="72"/>
      <c r="D129" s="72"/>
      <c r="E129" s="64"/>
      <c r="F129" s="72"/>
      <c r="G129" s="64"/>
    </row>
    <row r="130" spans="1:7" ht="13.5">
      <c r="A130" s="64"/>
      <c r="B130" s="69"/>
      <c r="C130" s="72"/>
      <c r="D130" s="72"/>
      <c r="E130" s="72"/>
      <c r="F130" s="72"/>
      <c r="G130" s="67"/>
    </row>
    <row r="131" spans="2:7" ht="13.5">
      <c r="B131" s="35"/>
      <c r="C131" s="72"/>
      <c r="D131" s="72"/>
      <c r="E131" s="72"/>
      <c r="F131" s="72"/>
      <c r="G131" s="72"/>
    </row>
    <row r="132" spans="5:7" ht="13.5">
      <c r="E132" s="67"/>
      <c r="F132" s="41"/>
      <c r="G132" s="72"/>
    </row>
    <row r="133" spans="5:7" ht="13.5">
      <c r="E133" s="67"/>
      <c r="F133" s="41"/>
      <c r="G133" s="67"/>
    </row>
    <row r="134" spans="5:7" ht="13.5">
      <c r="E134" s="67"/>
      <c r="F134" s="41"/>
      <c r="G134" s="72"/>
    </row>
    <row r="135" spans="5:7" ht="13.5">
      <c r="E135" s="67"/>
      <c r="F135" s="41"/>
      <c r="G135" s="72"/>
    </row>
    <row r="136" spans="5:7" ht="13.5">
      <c r="E136" s="72"/>
      <c r="F136" s="41"/>
      <c r="G136" s="72"/>
    </row>
    <row r="137" spans="5:7" ht="13.5">
      <c r="E137" s="72"/>
      <c r="F137" s="41"/>
      <c r="G137" s="72"/>
    </row>
    <row r="138" spans="5:7" ht="13.5">
      <c r="E138" s="72"/>
      <c r="F138" s="41"/>
      <c r="G138" s="72"/>
    </row>
    <row r="139" spans="5:7" ht="13.5">
      <c r="E139" s="72"/>
      <c r="F139" s="41"/>
      <c r="G139" s="72"/>
    </row>
    <row r="140" spans="5:7" ht="13.5">
      <c r="E140" s="72"/>
      <c r="F140" s="41"/>
      <c r="G140" s="72"/>
    </row>
    <row r="141" spans="5:7" ht="13.5">
      <c r="E141" s="72"/>
      <c r="F141" s="41"/>
      <c r="G141" s="72"/>
    </row>
    <row r="142" spans="1:7" ht="15">
      <c r="A142" s="63"/>
      <c r="B142" s="88"/>
      <c r="E142" s="63"/>
      <c r="G142" s="72"/>
    </row>
    <row r="143" spans="1:7" ht="15">
      <c r="A143" s="63"/>
      <c r="E143" s="63"/>
      <c r="G143" s="72"/>
    </row>
    <row r="144" spans="1:7" ht="15">
      <c r="A144" s="63"/>
      <c r="E144" s="63"/>
      <c r="G144" s="72"/>
    </row>
    <row r="145" spans="1:7" ht="15">
      <c r="A145" s="63"/>
      <c r="E145" s="63"/>
      <c r="G145" s="67"/>
    </row>
    <row r="146" spans="1:7" ht="15">
      <c r="A146" s="63"/>
      <c r="E146" s="63"/>
      <c r="G146" s="67"/>
    </row>
    <row r="147" spans="1:7" ht="15">
      <c r="A147" s="63"/>
      <c r="E147" s="63"/>
      <c r="G147" s="67"/>
    </row>
    <row r="148" spans="1:7" ht="15">
      <c r="A148" s="63"/>
      <c r="E148" s="63"/>
      <c r="G148" s="67"/>
    </row>
    <row r="149" spans="1:7" ht="15">
      <c r="A149" s="63"/>
      <c r="E149" s="63"/>
      <c r="G149" s="72"/>
    </row>
    <row r="150" spans="1:7" ht="15">
      <c r="A150" s="63"/>
      <c r="E150" s="63"/>
      <c r="G150" s="72"/>
    </row>
    <row r="151" spans="1:7" ht="15">
      <c r="A151" s="63"/>
      <c r="E151" s="63"/>
      <c r="G151" s="72"/>
    </row>
    <row r="152" spans="1:7" ht="15">
      <c r="A152" s="63"/>
      <c r="E152" s="63"/>
      <c r="G152" s="72"/>
    </row>
    <row r="153" spans="1:7" ht="15">
      <c r="A153" s="89"/>
      <c r="E153" s="63"/>
      <c r="G153" s="72"/>
    </row>
    <row r="154" spans="1:7" ht="15">
      <c r="A154" s="63"/>
      <c r="E154" s="63"/>
      <c r="G154" s="72"/>
    </row>
    <row r="155" spans="1:7" ht="15">
      <c r="A155" s="63"/>
      <c r="E155" s="63"/>
      <c r="G155" s="72"/>
    </row>
    <row r="156" spans="1:7" ht="15">
      <c r="A156" s="63"/>
      <c r="E156" s="63"/>
      <c r="G156" s="72"/>
    </row>
    <row r="157" spans="1:7" ht="15">
      <c r="A157" s="63"/>
      <c r="E157" s="63"/>
      <c r="G157" s="72"/>
    </row>
    <row r="158" spans="1:7" ht="15">
      <c r="A158" s="63"/>
      <c r="E158" s="63"/>
      <c r="G158" s="72"/>
    </row>
    <row r="159" spans="5:7" ht="15">
      <c r="E159" s="63"/>
      <c r="G159" s="72"/>
    </row>
    <row r="160" spans="5:7" ht="15">
      <c r="E160" s="63"/>
      <c r="G160" s="72"/>
    </row>
    <row r="161" spans="5:7" ht="15">
      <c r="E161" s="63"/>
      <c r="G161" s="72"/>
    </row>
    <row r="162" spans="5:7" ht="15">
      <c r="E162" s="63"/>
      <c r="G162" s="72"/>
    </row>
    <row r="163" spans="5:7" ht="15">
      <c r="E163" s="63"/>
      <c r="G163" s="72"/>
    </row>
    <row r="164" spans="1:7" ht="15">
      <c r="A164" s="63"/>
      <c r="E164" s="63"/>
      <c r="G164" s="72"/>
    </row>
    <row r="165" spans="1:7" ht="15">
      <c r="A165" s="63"/>
      <c r="E165" s="63"/>
      <c r="G165" s="72"/>
    </row>
    <row r="166" spans="1:7" ht="15">
      <c r="A166" s="63"/>
      <c r="E166" s="63"/>
      <c r="G166" s="72"/>
    </row>
    <row r="167" spans="1:7" ht="15">
      <c r="A167" s="63"/>
      <c r="E167" s="63"/>
      <c r="G167" s="72"/>
    </row>
    <row r="168" spans="1:7" ht="15">
      <c r="A168" s="63"/>
      <c r="B168" s="41"/>
      <c r="C168" s="41"/>
      <c r="G168" s="72"/>
    </row>
    <row r="169" spans="1:7" ht="15">
      <c r="A169" s="63"/>
      <c r="B169" s="66"/>
      <c r="C169" s="41"/>
      <c r="G169" s="67"/>
    </row>
    <row r="170" spans="1:7" ht="15">
      <c r="A170" s="63"/>
      <c r="B170" s="66"/>
      <c r="C170" s="41"/>
      <c r="G170" s="64"/>
    </row>
    <row r="171" spans="1:7" ht="15">
      <c r="A171" s="63"/>
      <c r="B171" s="66"/>
      <c r="C171" s="41"/>
      <c r="G171" s="64"/>
    </row>
    <row r="172" ht="13.5">
      <c r="G172" s="64"/>
    </row>
    <row r="173" spans="1:7" ht="15">
      <c r="A173" s="63"/>
      <c r="E173" s="63"/>
      <c r="G173" s="64"/>
    </row>
    <row r="174" spans="1:7" ht="15">
      <c r="A174" s="63"/>
      <c r="E174" s="63"/>
      <c r="G174" s="64"/>
    </row>
    <row r="175" spans="1:7" ht="15">
      <c r="A175" s="63"/>
      <c r="E175" s="63"/>
      <c r="G175" s="64"/>
    </row>
    <row r="176" spans="1:7" ht="15">
      <c r="A176" s="63"/>
      <c r="E176" s="63"/>
      <c r="G176" s="64"/>
    </row>
    <row r="177" spans="1:7" ht="15">
      <c r="A177" s="63"/>
      <c r="E177" s="63"/>
      <c r="G177" s="64"/>
    </row>
    <row r="178" spans="1:7" ht="15">
      <c r="A178" s="63"/>
      <c r="E178" s="63"/>
      <c r="G178" s="64"/>
    </row>
    <row r="179" spans="1:7" ht="15">
      <c r="A179" s="63"/>
      <c r="E179" s="63"/>
      <c r="G179" s="64"/>
    </row>
    <row r="180" spans="1:7" ht="15">
      <c r="A180" s="63"/>
      <c r="E180" s="63"/>
      <c r="G180" s="64"/>
    </row>
    <row r="181" spans="1:7" ht="15">
      <c r="A181" s="63"/>
      <c r="E181" s="63"/>
      <c r="G181" s="64"/>
    </row>
    <row r="182" spans="1:7" ht="15">
      <c r="A182" s="63"/>
      <c r="E182" s="63"/>
      <c r="G182" s="64"/>
    </row>
    <row r="183" spans="1:7" ht="15">
      <c r="A183" s="63"/>
      <c r="E183" s="63"/>
      <c r="G183" s="64"/>
    </row>
    <row r="184" spans="1:7" ht="15">
      <c r="A184" s="63"/>
      <c r="E184" s="63"/>
      <c r="G184" s="64"/>
    </row>
    <row r="185" spans="1:7" ht="15">
      <c r="A185" s="63"/>
      <c r="E185" s="63"/>
      <c r="G185" s="64"/>
    </row>
    <row r="186" spans="1:7" ht="15">
      <c r="A186" s="63"/>
      <c r="E186" s="63"/>
      <c r="G186" s="64"/>
    </row>
    <row r="187" spans="1:7" ht="15">
      <c r="A187" s="63"/>
      <c r="E187" s="63"/>
      <c r="G187" s="64"/>
    </row>
    <row r="188" spans="1:7" ht="15">
      <c r="A188" s="63"/>
      <c r="E188" s="63"/>
      <c r="G188" s="64"/>
    </row>
    <row r="189" spans="1:7" ht="15">
      <c r="A189" s="63"/>
      <c r="E189" s="63"/>
      <c r="G189" s="64"/>
    </row>
    <row r="190" spans="1:7" ht="15">
      <c r="A190" s="63"/>
      <c r="E190" s="63"/>
      <c r="G190" s="64"/>
    </row>
    <row r="191" spans="1:7" ht="15">
      <c r="A191" s="63"/>
      <c r="E191" s="63"/>
      <c r="G191" s="64"/>
    </row>
    <row r="192" spans="1:7" ht="15">
      <c r="A192" s="63"/>
      <c r="E192" s="63"/>
      <c r="G192" s="64"/>
    </row>
    <row r="193" ht="13.5">
      <c r="G193" s="64"/>
    </row>
    <row r="194" ht="13.5">
      <c r="G194" s="64"/>
    </row>
    <row r="195" ht="13.5">
      <c r="G195" s="64"/>
    </row>
    <row r="196" ht="13.5">
      <c r="G196" s="64"/>
    </row>
    <row r="197" ht="13.5">
      <c r="G197" s="64"/>
    </row>
    <row r="198" spans="1:7" ht="15">
      <c r="A198" s="63"/>
      <c r="E198" s="63"/>
      <c r="G198" s="64"/>
    </row>
    <row r="199" spans="1:7" ht="15">
      <c r="A199" s="63"/>
      <c r="E199" s="63"/>
      <c r="G199" s="64"/>
    </row>
    <row r="200" spans="1:7" ht="15">
      <c r="A200" s="63"/>
      <c r="E200" s="63"/>
      <c r="G200" s="64"/>
    </row>
    <row r="201" spans="1:7" ht="15">
      <c r="A201" s="63"/>
      <c r="E201" s="63"/>
      <c r="G201" s="64"/>
    </row>
    <row r="202" spans="1:7" ht="15">
      <c r="A202" s="63"/>
      <c r="E202" s="63"/>
      <c r="G202" s="64"/>
    </row>
    <row r="203" spans="1:7" ht="15">
      <c r="A203" s="63"/>
      <c r="E203" s="63"/>
      <c r="G203" s="64"/>
    </row>
    <row r="204" spans="1:7" ht="15">
      <c r="A204" s="63"/>
      <c r="E204" s="63"/>
      <c r="G204" s="64"/>
    </row>
    <row r="205" spans="1:7" ht="15">
      <c r="A205" s="63"/>
      <c r="E205" s="63"/>
      <c r="G205" s="64"/>
    </row>
    <row r="206" spans="1:5" ht="15">
      <c r="A206" s="63"/>
      <c r="E206" s="63"/>
    </row>
    <row r="207" spans="1:5" ht="15">
      <c r="A207" s="63"/>
      <c r="E207" s="63"/>
    </row>
    <row r="208" spans="1:5" ht="15">
      <c r="A208" s="63"/>
      <c r="E208" s="63"/>
    </row>
    <row r="209" spans="1:5" ht="15">
      <c r="A209" s="63"/>
      <c r="E209" s="63"/>
    </row>
    <row r="210" spans="1:5" ht="15">
      <c r="A210" s="63"/>
      <c r="E210" s="63"/>
    </row>
    <row r="211" spans="1:7" ht="15">
      <c r="A211" s="63"/>
      <c r="E211" s="63"/>
      <c r="G211" s="64"/>
    </row>
    <row r="212" spans="1:7" ht="15">
      <c r="A212" s="63"/>
      <c r="E212" s="63"/>
      <c r="G212" s="64"/>
    </row>
    <row r="213" spans="1:7" ht="15">
      <c r="A213" s="63"/>
      <c r="E213" s="63"/>
      <c r="G213" s="64"/>
    </row>
    <row r="214" spans="1:7" ht="15">
      <c r="A214" s="63"/>
      <c r="E214" s="63"/>
      <c r="G214" s="64"/>
    </row>
    <row r="215" spans="1:7" ht="15">
      <c r="A215" s="63"/>
      <c r="E215" s="63"/>
      <c r="G215" s="64"/>
    </row>
    <row r="216" spans="1:7" ht="15">
      <c r="A216" s="63"/>
      <c r="E216" s="63"/>
      <c r="G216" s="64"/>
    </row>
    <row r="217" spans="1:7" ht="15">
      <c r="A217" s="63"/>
      <c r="E217" s="63"/>
      <c r="G217" s="64"/>
    </row>
    <row r="218" spans="1:7" ht="15">
      <c r="A218" s="63"/>
      <c r="E218" s="63"/>
      <c r="G218" s="64"/>
    </row>
    <row r="219" spans="1:7" ht="15">
      <c r="A219" s="63"/>
      <c r="E219" s="63"/>
      <c r="G219" s="64"/>
    </row>
    <row r="220" spans="1:7" ht="15">
      <c r="A220" s="63"/>
      <c r="E220" s="63"/>
      <c r="G220" s="64"/>
    </row>
    <row r="221" spans="1:7" ht="15">
      <c r="A221" s="63"/>
      <c r="E221" s="63"/>
      <c r="G221" s="64"/>
    </row>
    <row r="222" spans="1:7" ht="15">
      <c r="A222" s="63"/>
      <c r="E222" s="63"/>
      <c r="G222" s="64"/>
    </row>
    <row r="223" spans="1:7" ht="15">
      <c r="A223" s="63"/>
      <c r="E223" s="63"/>
      <c r="G223" s="64"/>
    </row>
    <row r="224" spans="1:7" ht="15">
      <c r="A224" s="63"/>
      <c r="E224" s="63"/>
      <c r="G224" s="64"/>
    </row>
    <row r="225" spans="1:7" ht="15">
      <c r="A225" s="63"/>
      <c r="E225" s="63"/>
      <c r="G225" s="64"/>
    </row>
    <row r="226" spans="1:7" ht="15">
      <c r="A226" s="63"/>
      <c r="E226" s="63"/>
      <c r="G226" s="64"/>
    </row>
    <row r="227" spans="5:7" ht="15">
      <c r="E227" s="63"/>
      <c r="G227" s="64"/>
    </row>
    <row r="228" spans="5:7" ht="15">
      <c r="E228" s="63"/>
      <c r="G228" s="64"/>
    </row>
    <row r="229" spans="1:7" ht="15">
      <c r="A229" s="63"/>
      <c r="E229" s="63"/>
      <c r="G229" s="64"/>
    </row>
    <row r="230" spans="1:7" ht="15">
      <c r="A230" s="63"/>
      <c r="E230" s="63"/>
      <c r="G230" s="64"/>
    </row>
    <row r="231" spans="1:7" ht="15">
      <c r="A231" s="63"/>
      <c r="E231" s="63"/>
      <c r="G231" s="64"/>
    </row>
    <row r="232" spans="1:7" ht="15">
      <c r="A232" s="63"/>
      <c r="E232" s="63"/>
      <c r="G232" s="64"/>
    </row>
    <row r="233" spans="5:7" ht="15">
      <c r="E233" s="63"/>
      <c r="G233" s="64"/>
    </row>
    <row r="234" spans="2:7" ht="15">
      <c r="B234" s="66"/>
      <c r="C234" s="66"/>
      <c r="E234" s="63"/>
      <c r="G234" s="64"/>
    </row>
    <row r="235" spans="2:7" ht="15">
      <c r="B235" s="66"/>
      <c r="C235" s="66"/>
      <c r="E235" s="63"/>
      <c r="G235" s="64"/>
    </row>
    <row r="236" spans="2:7" ht="15">
      <c r="B236" s="66"/>
      <c r="C236" s="66"/>
      <c r="E236" s="63"/>
      <c r="G236" s="64"/>
    </row>
    <row r="237" spans="2:7" ht="15">
      <c r="B237" s="66"/>
      <c r="C237" s="66"/>
      <c r="E237" s="63"/>
      <c r="G237" s="64"/>
    </row>
    <row r="238" spans="3:7" ht="15">
      <c r="C238" s="63"/>
      <c r="E238" s="63"/>
      <c r="G238" s="64"/>
    </row>
    <row r="239" spans="3:7" ht="15">
      <c r="C239" s="63"/>
      <c r="E239" s="63"/>
      <c r="G239" s="64"/>
    </row>
    <row r="240" spans="3:7" ht="15">
      <c r="C240" s="63"/>
      <c r="E240" s="63"/>
      <c r="G240" s="64"/>
    </row>
    <row r="241" spans="3:7" ht="15">
      <c r="C241" s="63"/>
      <c r="E241" s="63"/>
      <c r="G241" s="64"/>
    </row>
    <row r="242" spans="5:7" ht="15">
      <c r="E242" s="63"/>
      <c r="G242" s="64"/>
    </row>
    <row r="243" spans="5:7" ht="15">
      <c r="E243" s="63"/>
      <c r="G243" s="64"/>
    </row>
    <row r="244" spans="5:7" ht="15">
      <c r="E244" s="63"/>
      <c r="G244" s="64"/>
    </row>
    <row r="245" spans="5:7" ht="15">
      <c r="E245" s="63"/>
      <c r="G245" s="64"/>
    </row>
    <row r="246" spans="5:7" ht="15">
      <c r="E246" s="63"/>
      <c r="G246" s="64"/>
    </row>
    <row r="247" spans="5:7" ht="15">
      <c r="E247" s="63"/>
      <c r="G247" s="64"/>
    </row>
    <row r="248" spans="5:7" ht="15">
      <c r="E248" s="63"/>
      <c r="G248" s="64"/>
    </row>
    <row r="249" spans="5:7" ht="15">
      <c r="E249" s="63"/>
      <c r="G249" s="64"/>
    </row>
    <row r="250" spans="5:7" ht="15">
      <c r="E250" s="63"/>
      <c r="G250" s="64"/>
    </row>
    <row r="251" ht="13.5">
      <c r="G251" s="64"/>
    </row>
    <row r="252" spans="2:7" ht="13.5">
      <c r="B252" s="78"/>
      <c r="C252" s="79"/>
      <c r="G252" s="64"/>
    </row>
    <row r="253" spans="2:7" ht="13.5">
      <c r="B253" s="78"/>
      <c r="G253" s="64"/>
    </row>
    <row r="254" spans="3:7" ht="16.5">
      <c r="C254" s="62"/>
      <c r="D254" s="80"/>
      <c r="G254" s="64"/>
    </row>
    <row r="255" ht="13.5">
      <c r="G255" s="64"/>
    </row>
    <row r="256" spans="3:7" ht="16.5">
      <c r="C256" s="35"/>
      <c r="D256" s="76"/>
      <c r="G256" s="64"/>
    </row>
    <row r="257" spans="1:7" ht="15">
      <c r="A257" s="63"/>
      <c r="B257" s="63"/>
      <c r="G257" s="64"/>
    </row>
    <row r="258" spans="1:7" ht="15">
      <c r="A258" s="63"/>
      <c r="B258" s="63"/>
      <c r="E258" s="63"/>
      <c r="G258" s="64"/>
    </row>
    <row r="259" spans="1:7" ht="15">
      <c r="A259" s="63"/>
      <c r="B259" s="63"/>
      <c r="C259" s="63"/>
      <c r="D259" s="63"/>
      <c r="E259" s="63"/>
      <c r="G259" s="64"/>
    </row>
    <row r="260" spans="1:7" ht="15">
      <c r="A260" s="63"/>
      <c r="B260" s="63"/>
      <c r="C260" s="63"/>
      <c r="D260" s="63"/>
      <c r="E260" s="63"/>
      <c r="G260" s="64"/>
    </row>
    <row r="261" spans="1:7" ht="15">
      <c r="A261" s="63"/>
      <c r="B261" s="63"/>
      <c r="C261" s="63"/>
      <c r="D261" s="63"/>
      <c r="E261" s="63"/>
      <c r="G261" s="64"/>
    </row>
    <row r="262" spans="1:7" ht="15">
      <c r="A262" s="63"/>
      <c r="B262" s="63"/>
      <c r="C262" s="63"/>
      <c r="D262" s="63"/>
      <c r="E262" s="63"/>
      <c r="G262" s="64"/>
    </row>
    <row r="263" spans="1:7" ht="15">
      <c r="A263" s="63"/>
      <c r="B263" s="63"/>
      <c r="C263" s="63"/>
      <c r="D263" s="63"/>
      <c r="E263" s="63"/>
      <c r="G263" s="64"/>
    </row>
    <row r="264" spans="1:7" ht="16.5">
      <c r="A264" s="63"/>
      <c r="B264" s="63"/>
      <c r="C264" s="62"/>
      <c r="D264" s="80"/>
      <c r="G264" s="40"/>
    </row>
    <row r="266" spans="3:4" ht="16.5">
      <c r="C266" s="35"/>
      <c r="D266" s="76"/>
    </row>
    <row r="267" spans="3:5" ht="15">
      <c r="C267" s="63"/>
      <c r="D267" s="63"/>
      <c r="E267" s="63"/>
    </row>
    <row r="268" spans="3:4" ht="16.5">
      <c r="C268" s="62"/>
      <c r="D268" s="80"/>
    </row>
    <row r="269" spans="3:5" ht="15">
      <c r="C269" s="63"/>
      <c r="D269" s="63"/>
      <c r="E269" s="63"/>
    </row>
    <row r="270" spans="3:5" ht="15">
      <c r="C270" s="63"/>
      <c r="D270" s="63"/>
      <c r="E270" s="63"/>
    </row>
    <row r="271" spans="1:7" ht="15">
      <c r="A271" s="63"/>
      <c r="B271" s="63"/>
      <c r="C271" s="63"/>
      <c r="D271" s="63"/>
      <c r="E271" s="63"/>
      <c r="G271" s="64"/>
    </row>
    <row r="272" spans="1:7" ht="15.75">
      <c r="A272" s="90"/>
      <c r="B272" s="91"/>
      <c r="C272" s="91"/>
      <c r="D272" s="91"/>
      <c r="E272" s="91"/>
      <c r="G272" s="64"/>
    </row>
    <row r="273" spans="1:7" ht="15">
      <c r="A273" s="91"/>
      <c r="B273" s="91"/>
      <c r="C273" s="91"/>
      <c r="D273" s="91"/>
      <c r="E273" s="91"/>
      <c r="G273" s="64"/>
    </row>
    <row r="274" spans="1:7" ht="15.75">
      <c r="A274" s="90"/>
      <c r="B274" s="91"/>
      <c r="C274" s="91"/>
      <c r="D274" s="91"/>
      <c r="E274" s="91"/>
      <c r="G274" s="64"/>
    </row>
    <row r="275" spans="1:7" ht="15.75">
      <c r="A275" s="90"/>
      <c r="B275" s="91"/>
      <c r="C275" s="91"/>
      <c r="D275" s="91"/>
      <c r="E275" s="91"/>
      <c r="G275" s="64"/>
    </row>
    <row r="276" spans="1:7" ht="15.75">
      <c r="A276" s="90"/>
      <c r="B276" s="91"/>
      <c r="C276" s="91"/>
      <c r="D276" s="91"/>
      <c r="E276" s="91"/>
      <c r="G276" s="64"/>
    </row>
    <row r="277" spans="1:7" ht="15">
      <c r="A277" s="63"/>
      <c r="B277" s="63"/>
      <c r="C277" s="63"/>
      <c r="D277" s="63"/>
      <c r="E277" s="63"/>
      <c r="G277" s="64"/>
    </row>
    <row r="278" spans="1:7" ht="15">
      <c r="A278" s="63"/>
      <c r="B278" s="63"/>
      <c r="C278" s="63"/>
      <c r="D278" s="63"/>
      <c r="E278" s="63"/>
      <c r="G278" s="64"/>
    </row>
    <row r="279" spans="1:7" ht="15">
      <c r="A279" s="63"/>
      <c r="B279" s="63"/>
      <c r="C279" s="63"/>
      <c r="D279" s="63"/>
      <c r="E279" s="63"/>
      <c r="G279" s="64"/>
    </row>
    <row r="280" spans="1:7" ht="15">
      <c r="A280" s="63"/>
      <c r="B280" s="63"/>
      <c r="C280" s="63"/>
      <c r="D280" s="63"/>
      <c r="E280" s="63"/>
      <c r="G280" s="64"/>
    </row>
    <row r="281" spans="1:7" ht="15">
      <c r="A281" s="63"/>
      <c r="B281" s="63"/>
      <c r="C281" s="63"/>
      <c r="D281" s="63"/>
      <c r="E281" s="63"/>
      <c r="G281" s="64"/>
    </row>
    <row r="282" spans="1:7" ht="15">
      <c r="A282" s="63"/>
      <c r="B282" s="63"/>
      <c r="C282" s="63"/>
      <c r="D282" s="63"/>
      <c r="E282" s="63"/>
      <c r="G282" s="64"/>
    </row>
    <row r="283" spans="1:7" ht="15">
      <c r="A283" s="63"/>
      <c r="B283" s="63"/>
      <c r="C283" s="63"/>
      <c r="D283" s="63"/>
      <c r="E283" s="63"/>
      <c r="G283" s="64"/>
    </row>
    <row r="284" spans="1:7" ht="15">
      <c r="A284" s="63"/>
      <c r="B284" s="63"/>
      <c r="C284" s="63"/>
      <c r="D284" s="63"/>
      <c r="E284" s="63"/>
      <c r="G284" s="64"/>
    </row>
    <row r="285" ht="13.5">
      <c r="G285" s="64"/>
    </row>
    <row r="286" spans="1:7" ht="15">
      <c r="A286" s="63"/>
      <c r="B286" s="63"/>
      <c r="C286" s="63"/>
      <c r="D286" s="63"/>
      <c r="E286" s="63"/>
      <c r="G286" s="64"/>
    </row>
    <row r="287" spans="1:7" ht="15">
      <c r="A287" s="63"/>
      <c r="B287" s="63"/>
      <c r="C287" s="63"/>
      <c r="D287" s="63"/>
      <c r="E287" s="63"/>
      <c r="G287" s="64"/>
    </row>
    <row r="288" spans="1:7" ht="15">
      <c r="A288" s="63"/>
      <c r="B288" s="63"/>
      <c r="C288" s="63"/>
      <c r="D288" s="63"/>
      <c r="E288" s="63"/>
      <c r="G288" s="64"/>
    </row>
    <row r="289" spans="5:7" ht="15">
      <c r="E289" s="63"/>
      <c r="G289" s="64"/>
    </row>
    <row r="290" spans="3:7" ht="15">
      <c r="C290" s="66"/>
      <c r="E290" s="63"/>
      <c r="G290" s="64"/>
    </row>
    <row r="291" spans="3:7" ht="15">
      <c r="C291" s="66"/>
      <c r="E291" s="63"/>
      <c r="G291" s="64"/>
    </row>
    <row r="292" spans="1:7" ht="15">
      <c r="A292" s="63"/>
      <c r="B292" s="63"/>
      <c r="C292" s="66"/>
      <c r="E292" s="63"/>
      <c r="G292" s="64"/>
    </row>
    <row r="293" spans="1:7" ht="15">
      <c r="A293" s="63"/>
      <c r="B293" s="63"/>
      <c r="E293" s="63"/>
      <c r="G293" s="64"/>
    </row>
    <row r="294" spans="1:7" ht="15">
      <c r="A294" s="63"/>
      <c r="B294" s="63"/>
      <c r="E294" s="63"/>
      <c r="G294" s="64"/>
    </row>
    <row r="295" spans="1:7" ht="15">
      <c r="A295" s="63"/>
      <c r="B295" s="63"/>
      <c r="E295" s="63"/>
      <c r="G295" s="64"/>
    </row>
    <row r="296" spans="1:7" ht="15">
      <c r="A296" s="63"/>
      <c r="B296" s="66"/>
      <c r="E296" s="63"/>
      <c r="G296" s="64"/>
    </row>
    <row r="297" spans="1:7" ht="15">
      <c r="A297" s="63"/>
      <c r="B297" s="66"/>
      <c r="E297" s="63"/>
      <c r="G297" s="64"/>
    </row>
    <row r="298" spans="1:2" ht="15">
      <c r="A298" s="63"/>
      <c r="B298" s="66"/>
    </row>
    <row r="299" ht="13.5">
      <c r="G299" s="64"/>
    </row>
    <row r="300" ht="13.5">
      <c r="G300" s="64"/>
    </row>
    <row r="301" ht="13.5">
      <c r="G301" s="64"/>
    </row>
    <row r="302" ht="13.5">
      <c r="G302" s="64"/>
    </row>
    <row r="303" ht="13.5">
      <c r="G303" s="64"/>
    </row>
    <row r="304" ht="13.5">
      <c r="G304" s="64"/>
    </row>
    <row r="305" ht="13.5">
      <c r="G305" s="64"/>
    </row>
    <row r="306" ht="13.5">
      <c r="G306" s="64"/>
    </row>
    <row r="307" spans="1:7" ht="15">
      <c r="A307" s="63"/>
      <c r="B307" s="63"/>
      <c r="C307" s="63"/>
      <c r="D307" s="63"/>
      <c r="G307" s="64"/>
    </row>
    <row r="308" ht="13.5">
      <c r="G308" s="64"/>
    </row>
    <row r="309" ht="13.5">
      <c r="G309" s="64"/>
    </row>
    <row r="310" ht="13.5">
      <c r="G310" s="64"/>
    </row>
    <row r="311" ht="13.5">
      <c r="G311" s="64"/>
    </row>
    <row r="312" ht="13.5">
      <c r="G312" s="64"/>
    </row>
    <row r="313" ht="13.5">
      <c r="G313" s="64"/>
    </row>
    <row r="314" ht="13.5">
      <c r="G314" s="64"/>
    </row>
    <row r="315" ht="13.5">
      <c r="G315" s="64"/>
    </row>
    <row r="316" ht="13.5">
      <c r="G316" s="64"/>
    </row>
    <row r="317" ht="13.5">
      <c r="G317" s="64"/>
    </row>
    <row r="318" ht="13.5">
      <c r="G318" s="64"/>
    </row>
    <row r="319" ht="13.5">
      <c r="G319" s="64"/>
    </row>
    <row r="320" ht="13.5">
      <c r="G320" s="64"/>
    </row>
    <row r="321" ht="13.5">
      <c r="G321" s="64"/>
    </row>
    <row r="322" ht="13.5">
      <c r="G322" s="64"/>
    </row>
    <row r="323" ht="13.5">
      <c r="G323" s="64"/>
    </row>
    <row r="324" ht="13.5">
      <c r="G324" s="64"/>
    </row>
    <row r="325" ht="13.5">
      <c r="G325" s="64"/>
    </row>
    <row r="326" ht="13.5">
      <c r="G326" s="64"/>
    </row>
    <row r="327" spans="1:7" ht="15">
      <c r="A327" s="63"/>
      <c r="B327" s="63"/>
      <c r="C327" s="63"/>
      <c r="D327" s="63"/>
      <c r="E327" s="63"/>
      <c r="G327" s="64"/>
    </row>
    <row r="328" spans="1:7" ht="15">
      <c r="A328" s="63"/>
      <c r="B328" s="63"/>
      <c r="C328" s="63"/>
      <c r="D328" s="63"/>
      <c r="E328" s="63"/>
      <c r="G328" s="64"/>
    </row>
    <row r="329" ht="13.5">
      <c r="G329" s="64"/>
    </row>
    <row r="330" ht="13.5">
      <c r="G330" s="64"/>
    </row>
    <row r="331" ht="13.5">
      <c r="G331" s="64"/>
    </row>
    <row r="332" ht="13.5">
      <c r="G332" s="64"/>
    </row>
    <row r="333" ht="13.5">
      <c r="G333" s="64"/>
    </row>
    <row r="334" spans="2:7" ht="15">
      <c r="B334" s="66"/>
      <c r="C334" s="66"/>
      <c r="G334" s="64"/>
    </row>
    <row r="335" spans="2:7" ht="15">
      <c r="B335" s="66"/>
      <c r="C335" s="66"/>
      <c r="G335" s="64"/>
    </row>
    <row r="336" spans="2:7" ht="15">
      <c r="B336" s="66"/>
      <c r="C336" s="66"/>
      <c r="G336" s="64"/>
    </row>
    <row r="337" ht="13.5">
      <c r="G337" s="64"/>
    </row>
    <row r="338" ht="13.5">
      <c r="G338" s="64"/>
    </row>
    <row r="339" ht="13.5">
      <c r="G339" s="64"/>
    </row>
    <row r="340" ht="13.5">
      <c r="G340" s="64"/>
    </row>
    <row r="341" ht="13.5">
      <c r="G341" s="64"/>
    </row>
    <row r="342" ht="13.5">
      <c r="G342" s="64"/>
    </row>
    <row r="343" ht="13.5">
      <c r="G343" s="64"/>
    </row>
    <row r="344" ht="13.5">
      <c r="G344" s="64"/>
    </row>
    <row r="345" ht="13.5">
      <c r="G345" s="64"/>
    </row>
    <row r="346" ht="13.5">
      <c r="G346" s="64"/>
    </row>
    <row r="347" ht="13.5">
      <c r="G347" s="64"/>
    </row>
    <row r="348" ht="13.5">
      <c r="G348" s="64"/>
    </row>
    <row r="349" ht="13.5">
      <c r="G349" s="64"/>
    </row>
    <row r="350" ht="13.5">
      <c r="G350" s="64"/>
    </row>
    <row r="351" spans="1:7" ht="15">
      <c r="A351" s="63"/>
      <c r="B351" s="63"/>
      <c r="C351" s="63"/>
      <c r="D351" s="63"/>
      <c r="E351" s="63"/>
      <c r="G351" s="64"/>
    </row>
    <row r="352" spans="1:7" ht="15">
      <c r="A352" s="63"/>
      <c r="B352" s="63"/>
      <c r="C352" s="63"/>
      <c r="D352" s="63"/>
      <c r="E352" s="63"/>
      <c r="G352" s="64"/>
    </row>
    <row r="353" spans="1:7" ht="15">
      <c r="A353" s="63"/>
      <c r="B353" s="63"/>
      <c r="C353" s="63"/>
      <c r="D353" s="63"/>
      <c r="E353" s="63"/>
      <c r="G353" s="64"/>
    </row>
    <row r="354" spans="1:7" ht="15">
      <c r="A354" s="63"/>
      <c r="B354" s="63"/>
      <c r="C354" s="63"/>
      <c r="D354" s="63"/>
      <c r="E354" s="63"/>
      <c r="G354" s="64"/>
    </row>
    <row r="355" spans="1:7" ht="15">
      <c r="A355" s="63"/>
      <c r="B355" s="63"/>
      <c r="C355" s="63"/>
      <c r="D355" s="63"/>
      <c r="E355" s="63"/>
      <c r="G355" s="64"/>
    </row>
    <row r="356" spans="1:7" ht="15">
      <c r="A356" s="63"/>
      <c r="B356" s="63"/>
      <c r="C356" s="63"/>
      <c r="D356" s="63"/>
      <c r="E356" s="63"/>
      <c r="G356" s="64"/>
    </row>
    <row r="357" spans="1:7" ht="15">
      <c r="A357" s="63"/>
      <c r="B357" s="63"/>
      <c r="C357" s="63"/>
      <c r="D357" s="63"/>
      <c r="E357" s="63"/>
      <c r="G357" s="64"/>
    </row>
    <row r="358" spans="1:7" ht="15">
      <c r="A358" s="63"/>
      <c r="B358" s="63"/>
      <c r="C358" s="63"/>
      <c r="D358" s="63"/>
      <c r="E358" s="63"/>
      <c r="G358" s="64"/>
    </row>
    <row r="359" spans="1:7" ht="15">
      <c r="A359" s="63"/>
      <c r="B359" s="63"/>
      <c r="C359" s="63"/>
      <c r="D359" s="63"/>
      <c r="E359" s="63"/>
      <c r="G359" s="64"/>
    </row>
    <row r="360" spans="1:7" ht="15">
      <c r="A360" s="63"/>
      <c r="B360" s="63"/>
      <c r="C360" s="63"/>
      <c r="D360" s="63"/>
      <c r="E360" s="63"/>
      <c r="G360" s="64"/>
    </row>
    <row r="361" spans="1:7" ht="15">
      <c r="A361" s="63"/>
      <c r="B361" s="66"/>
      <c r="C361" s="66"/>
      <c r="D361" s="63"/>
      <c r="E361" s="63"/>
      <c r="G361" s="64"/>
    </row>
    <row r="362" spans="1:7" ht="15">
      <c r="A362" s="63"/>
      <c r="B362" s="66"/>
      <c r="C362" s="66"/>
      <c r="D362" s="63"/>
      <c r="E362" s="63"/>
      <c r="G362" s="64"/>
    </row>
    <row r="363" spans="1:7" ht="15">
      <c r="A363" s="63"/>
      <c r="B363" s="66"/>
      <c r="C363" s="66"/>
      <c r="D363" s="63"/>
      <c r="E363" s="63"/>
      <c r="G363" s="64"/>
    </row>
    <row r="364" spans="1:7" ht="15">
      <c r="A364" s="63"/>
      <c r="B364" s="63"/>
      <c r="C364" s="63"/>
      <c r="D364" s="63"/>
      <c r="E364" s="63"/>
      <c r="G364" s="64"/>
    </row>
    <row r="365" spans="1:7" ht="15">
      <c r="A365" s="63"/>
      <c r="B365" s="63"/>
      <c r="C365" s="63"/>
      <c r="D365" s="63"/>
      <c r="E365" s="63"/>
      <c r="G365" s="64"/>
    </row>
    <row r="366" spans="1:7" ht="15">
      <c r="A366" s="63"/>
      <c r="B366" s="63"/>
      <c r="C366" s="63"/>
      <c r="D366" s="63"/>
      <c r="E366" s="63"/>
      <c r="G366" s="64"/>
    </row>
    <row r="367" spans="1:7" ht="15">
      <c r="A367" s="63"/>
      <c r="B367" s="63"/>
      <c r="C367" s="63"/>
      <c r="D367" s="63"/>
      <c r="E367" s="63"/>
      <c r="G367" s="64"/>
    </row>
    <row r="368" spans="1:7" ht="15">
      <c r="A368" s="63"/>
      <c r="B368" s="63"/>
      <c r="C368" s="63"/>
      <c r="D368" s="63"/>
      <c r="E368" s="63"/>
      <c r="G368" s="64"/>
    </row>
    <row r="369" spans="1:7" ht="15">
      <c r="A369" s="63"/>
      <c r="B369" s="63"/>
      <c r="C369" s="63"/>
      <c r="D369" s="63"/>
      <c r="E369" s="63"/>
      <c r="G369" s="64"/>
    </row>
    <row r="370" spans="1:7" ht="15">
      <c r="A370" s="63"/>
      <c r="B370" s="63"/>
      <c r="C370" s="63"/>
      <c r="D370" s="63"/>
      <c r="E370" s="63"/>
      <c r="G370" s="64"/>
    </row>
    <row r="371" spans="1:7" ht="15">
      <c r="A371" s="63"/>
      <c r="B371" s="63"/>
      <c r="C371" s="63"/>
      <c r="D371" s="63"/>
      <c r="E371" s="63"/>
      <c r="G371" s="64"/>
    </row>
    <row r="372" spans="1:7" ht="15">
      <c r="A372" s="63"/>
      <c r="B372" s="63"/>
      <c r="C372" s="63"/>
      <c r="D372" s="63"/>
      <c r="E372" s="63"/>
      <c r="G372" s="64"/>
    </row>
    <row r="373" spans="1:7" ht="15">
      <c r="A373" s="63"/>
      <c r="B373" s="63"/>
      <c r="C373" s="63"/>
      <c r="D373" s="63"/>
      <c r="E373" s="63"/>
      <c r="G373" s="64"/>
    </row>
    <row r="374" spans="1:7" ht="15">
      <c r="A374" s="63"/>
      <c r="B374" s="63"/>
      <c r="C374" s="63"/>
      <c r="D374" s="63"/>
      <c r="E374" s="63"/>
      <c r="G374" s="64"/>
    </row>
    <row r="375" spans="1:7" ht="15">
      <c r="A375" s="63"/>
      <c r="B375" s="63"/>
      <c r="C375" s="63"/>
      <c r="D375" s="63"/>
      <c r="E375" s="63"/>
      <c r="G375" s="64"/>
    </row>
    <row r="376" spans="1:7" ht="15">
      <c r="A376" s="63"/>
      <c r="B376" s="63"/>
      <c r="C376" s="63"/>
      <c r="D376" s="63"/>
      <c r="E376" s="63"/>
      <c r="G376" s="64"/>
    </row>
    <row r="377" spans="1:7" ht="15">
      <c r="A377" s="63"/>
      <c r="B377" s="63"/>
      <c r="C377" s="63"/>
      <c r="D377" s="63"/>
      <c r="E377" s="63"/>
      <c r="G377" s="64"/>
    </row>
    <row r="378" spans="1:7" ht="15">
      <c r="A378" s="63"/>
      <c r="B378" s="63"/>
      <c r="C378" s="63"/>
      <c r="D378" s="63"/>
      <c r="E378" s="63"/>
      <c r="G378" s="64"/>
    </row>
    <row r="379" spans="1:7" ht="15">
      <c r="A379" s="63"/>
      <c r="B379" s="63"/>
      <c r="C379" s="63"/>
      <c r="D379" s="63"/>
      <c r="E379" s="63"/>
      <c r="G379" s="64"/>
    </row>
    <row r="380" spans="1:7" ht="15">
      <c r="A380" s="63"/>
      <c r="B380" s="63"/>
      <c r="C380" s="63"/>
      <c r="D380" s="63"/>
      <c r="E380" s="63"/>
      <c r="G380" s="64"/>
    </row>
    <row r="381" spans="1:7" ht="15">
      <c r="A381" s="63"/>
      <c r="B381" s="63"/>
      <c r="C381" s="63"/>
      <c r="D381" s="63"/>
      <c r="E381" s="63"/>
      <c r="G381" s="64"/>
    </row>
    <row r="382" spans="1:7" ht="15">
      <c r="A382" s="63"/>
      <c r="B382" s="63"/>
      <c r="C382" s="63"/>
      <c r="D382" s="63"/>
      <c r="E382" s="63"/>
      <c r="G382" s="64"/>
    </row>
    <row r="383" spans="1:7" ht="15">
      <c r="A383" s="63"/>
      <c r="B383" s="63"/>
      <c r="C383" s="63"/>
      <c r="D383" s="63"/>
      <c r="E383" s="63"/>
      <c r="G383" s="64"/>
    </row>
    <row r="384" spans="1:7" ht="15">
      <c r="A384" s="63"/>
      <c r="B384" s="63"/>
      <c r="C384" s="63"/>
      <c r="D384" s="63"/>
      <c r="E384" s="63"/>
      <c r="G384" s="64"/>
    </row>
    <row r="385" spans="1:7" ht="15">
      <c r="A385" s="63"/>
      <c r="B385" s="63"/>
      <c r="C385" s="63"/>
      <c r="D385" s="63"/>
      <c r="E385" s="63"/>
      <c r="G385" s="64"/>
    </row>
    <row r="386" spans="1:7" ht="15">
      <c r="A386" s="63"/>
      <c r="B386" s="63"/>
      <c r="C386" s="63"/>
      <c r="D386" s="63"/>
      <c r="E386" s="63"/>
      <c r="G386" s="64"/>
    </row>
    <row r="387" spans="1:7" ht="15">
      <c r="A387" s="63"/>
      <c r="B387" s="63"/>
      <c r="C387" s="63"/>
      <c r="D387" s="63"/>
      <c r="E387" s="63"/>
      <c r="G387" s="64"/>
    </row>
    <row r="388" spans="1:7" ht="15">
      <c r="A388" s="63"/>
      <c r="B388" s="63"/>
      <c r="C388" s="63"/>
      <c r="D388" s="63"/>
      <c r="E388" s="63"/>
      <c r="G388" s="64"/>
    </row>
    <row r="389" spans="3:7" ht="15">
      <c r="C389" s="63"/>
      <c r="D389" s="63"/>
      <c r="E389" s="63"/>
      <c r="G389" s="64"/>
    </row>
    <row r="390" spans="3:7" ht="15">
      <c r="C390" s="63"/>
      <c r="D390" s="63"/>
      <c r="E390" s="63"/>
      <c r="G390" s="64"/>
    </row>
    <row r="391" spans="3:7" ht="15">
      <c r="C391" s="63"/>
      <c r="D391" s="63"/>
      <c r="E391" s="63"/>
      <c r="G391" s="64"/>
    </row>
    <row r="392" spans="3:7" ht="15">
      <c r="C392" s="63"/>
      <c r="D392" s="63"/>
      <c r="E392" s="63"/>
      <c r="G392" s="64"/>
    </row>
    <row r="393" spans="3:7" ht="15">
      <c r="C393" s="66"/>
      <c r="D393" s="63"/>
      <c r="E393" s="63"/>
      <c r="G393" s="64"/>
    </row>
    <row r="394" spans="3:7" ht="15">
      <c r="C394" s="66"/>
      <c r="D394" s="63"/>
      <c r="E394" s="63"/>
      <c r="G394" s="64"/>
    </row>
    <row r="395" spans="3:7" ht="15">
      <c r="C395" s="66"/>
      <c r="D395" s="63"/>
      <c r="E395" s="63"/>
      <c r="G395" s="64"/>
    </row>
    <row r="396" spans="1:7" ht="15">
      <c r="A396" s="63"/>
      <c r="B396" s="63"/>
      <c r="C396" s="63"/>
      <c r="D396" s="63"/>
      <c r="E396" s="63"/>
      <c r="G396" s="64"/>
    </row>
    <row r="397" spans="1:7" ht="15">
      <c r="A397" s="63"/>
      <c r="B397" s="63"/>
      <c r="C397" s="63"/>
      <c r="D397" s="63"/>
      <c r="E397" s="63"/>
      <c r="G397" s="64"/>
    </row>
    <row r="398" spans="1:7" ht="15">
      <c r="A398" s="63"/>
      <c r="B398" s="63"/>
      <c r="C398" s="63"/>
      <c r="D398" s="63"/>
      <c r="E398" s="63"/>
      <c r="G398" s="64"/>
    </row>
    <row r="399" spans="1:7" ht="15">
      <c r="A399" s="63"/>
      <c r="B399" s="63"/>
      <c r="C399" s="63"/>
      <c r="D399" s="63"/>
      <c r="E399" s="63"/>
      <c r="G399" s="64"/>
    </row>
    <row r="400" spans="1:7" ht="15">
      <c r="A400" s="63"/>
      <c r="B400" s="63"/>
      <c r="C400" s="63"/>
      <c r="D400" s="63"/>
      <c r="E400" s="63"/>
      <c r="G400" s="64"/>
    </row>
    <row r="401" spans="1:7" ht="15">
      <c r="A401" s="63"/>
      <c r="B401" s="63"/>
      <c r="C401" s="63"/>
      <c r="D401" s="63"/>
      <c r="E401" s="63"/>
      <c r="G401" s="64"/>
    </row>
    <row r="402" spans="1:7" ht="15">
      <c r="A402" s="63"/>
      <c r="B402" s="63"/>
      <c r="C402" s="63"/>
      <c r="D402" s="63"/>
      <c r="E402" s="63"/>
      <c r="G402" s="64"/>
    </row>
    <row r="403" spans="1:7" ht="15">
      <c r="A403" s="63"/>
      <c r="B403" s="63"/>
      <c r="C403" s="63"/>
      <c r="D403" s="63"/>
      <c r="E403" s="63"/>
      <c r="G403" s="64"/>
    </row>
    <row r="404" spans="1:7" ht="15">
      <c r="A404" s="63"/>
      <c r="B404" s="63"/>
      <c r="C404" s="63"/>
      <c r="D404" s="63"/>
      <c r="E404" s="63"/>
      <c r="G404" s="64"/>
    </row>
    <row r="405" spans="1:7" ht="15">
      <c r="A405" s="63"/>
      <c r="B405" s="63"/>
      <c r="C405" s="63"/>
      <c r="D405" s="63"/>
      <c r="E405" s="63"/>
      <c r="G405" s="64"/>
    </row>
    <row r="406" spans="1:7" ht="15">
      <c r="A406" s="63"/>
      <c r="B406" s="63"/>
      <c r="C406" s="63"/>
      <c r="D406" s="63"/>
      <c r="E406" s="63"/>
      <c r="G406" s="64"/>
    </row>
    <row r="407" spans="1:7" ht="15">
      <c r="A407" s="63"/>
      <c r="B407" s="63"/>
      <c r="C407" s="63"/>
      <c r="D407" s="63"/>
      <c r="E407" s="63"/>
      <c r="G407" s="64"/>
    </row>
    <row r="408" spans="1:7" ht="15">
      <c r="A408" s="63"/>
      <c r="B408" s="63"/>
      <c r="C408" s="63"/>
      <c r="D408" s="63"/>
      <c r="E408" s="63"/>
      <c r="G408" s="64"/>
    </row>
    <row r="409" spans="1:7" ht="15">
      <c r="A409" s="63"/>
      <c r="B409" s="63"/>
      <c r="C409" s="63"/>
      <c r="D409" s="63"/>
      <c r="E409" s="63"/>
      <c r="G409" s="64"/>
    </row>
    <row r="410" spans="1:7" ht="15">
      <c r="A410" s="63"/>
      <c r="B410" s="63"/>
      <c r="C410" s="63"/>
      <c r="D410" s="63"/>
      <c r="E410" s="63"/>
      <c r="G410" s="64"/>
    </row>
    <row r="411" spans="1:7" ht="15">
      <c r="A411" s="63"/>
      <c r="B411" s="63"/>
      <c r="C411" s="63"/>
      <c r="D411" s="63"/>
      <c r="E411" s="63"/>
      <c r="G411" s="64"/>
    </row>
    <row r="412" spans="1:7" ht="15">
      <c r="A412" s="63"/>
      <c r="B412" s="63"/>
      <c r="C412" s="63"/>
      <c r="D412" s="63"/>
      <c r="E412" s="63"/>
      <c r="G412" s="64"/>
    </row>
    <row r="413" spans="1:7" ht="15">
      <c r="A413" s="63"/>
      <c r="B413" s="63"/>
      <c r="C413" s="63"/>
      <c r="D413" s="63"/>
      <c r="E413" s="63"/>
      <c r="G413" s="64"/>
    </row>
    <row r="414" spans="1:7" ht="15">
      <c r="A414" s="63"/>
      <c r="B414" s="63"/>
      <c r="C414" s="63"/>
      <c r="D414" s="63"/>
      <c r="E414" s="63"/>
      <c r="G414" s="64"/>
    </row>
    <row r="415" spans="1:7" ht="15">
      <c r="A415" s="63"/>
      <c r="B415" s="63"/>
      <c r="C415" s="63"/>
      <c r="D415" s="63"/>
      <c r="E415" s="63"/>
      <c r="G415" s="64"/>
    </row>
    <row r="416" spans="1:7" ht="15">
      <c r="A416" s="63"/>
      <c r="B416" s="63"/>
      <c r="C416" s="63"/>
      <c r="D416" s="63"/>
      <c r="E416" s="63"/>
      <c r="G416" s="64"/>
    </row>
    <row r="417" spans="1:7" ht="15">
      <c r="A417" s="63"/>
      <c r="B417" s="63"/>
      <c r="C417" s="63"/>
      <c r="D417" s="63"/>
      <c r="E417" s="63"/>
      <c r="G417" s="64"/>
    </row>
    <row r="418" ht="13.5">
      <c r="G418" s="64"/>
    </row>
    <row r="419" ht="13.5">
      <c r="G419" s="64"/>
    </row>
    <row r="420" ht="13.5">
      <c r="G420" s="64"/>
    </row>
    <row r="421" ht="13.5">
      <c r="G421" s="64"/>
    </row>
    <row r="422" ht="13.5">
      <c r="G422" s="64"/>
    </row>
    <row r="423" ht="13.5">
      <c r="G423" s="64"/>
    </row>
    <row r="424" ht="13.5">
      <c r="G424" s="64"/>
    </row>
    <row r="425" ht="13.5">
      <c r="G425" s="64"/>
    </row>
    <row r="426" ht="13.5">
      <c r="G426" s="64"/>
    </row>
    <row r="427" ht="13.5">
      <c r="G427" s="64"/>
    </row>
    <row r="428" ht="13.5">
      <c r="G428" s="64"/>
    </row>
    <row r="429" ht="13.5">
      <c r="G429" s="64"/>
    </row>
    <row r="430" ht="13.5">
      <c r="G430" s="64"/>
    </row>
    <row r="431" ht="13.5">
      <c r="G431" s="64"/>
    </row>
    <row r="432" ht="13.5">
      <c r="G432" s="64"/>
    </row>
    <row r="433" ht="13.5">
      <c r="G433" s="64"/>
    </row>
    <row r="434" ht="13.5">
      <c r="G434" s="64"/>
    </row>
    <row r="435" ht="13.5">
      <c r="G435" s="64"/>
    </row>
    <row r="436" ht="13.5">
      <c r="G436" s="64"/>
    </row>
    <row r="437" ht="13.5">
      <c r="G437" s="64"/>
    </row>
    <row r="438" ht="13.5">
      <c r="G438" s="64"/>
    </row>
    <row r="439" ht="13.5">
      <c r="G439" s="64"/>
    </row>
    <row r="440" ht="13.5">
      <c r="G440" s="64"/>
    </row>
    <row r="441" ht="13.5">
      <c r="G441" s="64"/>
    </row>
    <row r="442" ht="13.5">
      <c r="G442" s="64"/>
    </row>
    <row r="443" ht="13.5">
      <c r="G443" s="64"/>
    </row>
    <row r="444" ht="13.5">
      <c r="G444" s="64"/>
    </row>
    <row r="445" ht="13.5">
      <c r="G445" s="64"/>
    </row>
    <row r="446" ht="13.5">
      <c r="G446" s="64"/>
    </row>
    <row r="447" ht="13.5">
      <c r="G447" s="64"/>
    </row>
    <row r="448" ht="13.5">
      <c r="G448" s="64"/>
    </row>
    <row r="449" ht="13.5">
      <c r="G449" s="64"/>
    </row>
    <row r="450" ht="13.5">
      <c r="G450" s="64"/>
    </row>
    <row r="451" ht="13.5">
      <c r="G451" s="64"/>
    </row>
    <row r="452" ht="13.5">
      <c r="G452" s="64"/>
    </row>
    <row r="453" ht="13.5">
      <c r="G453" s="64"/>
    </row>
    <row r="454" ht="13.5">
      <c r="G454" s="64"/>
    </row>
    <row r="455" ht="13.5">
      <c r="G455" s="64"/>
    </row>
    <row r="456" ht="13.5">
      <c r="G456" s="64"/>
    </row>
    <row r="457" ht="13.5">
      <c r="G457" s="64"/>
    </row>
    <row r="458" ht="13.5">
      <c r="G458" s="64"/>
    </row>
    <row r="459" ht="13.5">
      <c r="G459" s="64"/>
    </row>
    <row r="460" ht="13.5">
      <c r="G460" s="64"/>
    </row>
    <row r="461" ht="13.5">
      <c r="G461" s="64"/>
    </row>
    <row r="462" ht="13.5">
      <c r="G462" s="64"/>
    </row>
    <row r="463" ht="13.5">
      <c r="G463" s="64"/>
    </row>
    <row r="464" ht="13.5">
      <c r="G464" s="64"/>
    </row>
    <row r="465" ht="13.5">
      <c r="G465" s="64"/>
    </row>
    <row r="466" ht="13.5">
      <c r="G466" s="64"/>
    </row>
    <row r="467" ht="13.5">
      <c r="G467" s="64"/>
    </row>
    <row r="468" ht="13.5">
      <c r="G468" s="64"/>
    </row>
    <row r="469" ht="13.5">
      <c r="G469" s="64"/>
    </row>
    <row r="470" ht="13.5">
      <c r="G470" s="64"/>
    </row>
    <row r="471" ht="13.5">
      <c r="G471" s="64"/>
    </row>
    <row r="472" ht="13.5">
      <c r="G472" s="64"/>
    </row>
    <row r="473" ht="13.5">
      <c r="G473" s="64"/>
    </row>
    <row r="474" ht="13.5">
      <c r="G474" s="64"/>
    </row>
    <row r="475" ht="13.5">
      <c r="G475" s="64"/>
    </row>
    <row r="476" ht="13.5">
      <c r="G476" s="64"/>
    </row>
    <row r="477" ht="13.5">
      <c r="G477" s="64"/>
    </row>
    <row r="478" ht="13.5">
      <c r="G478" s="64"/>
    </row>
    <row r="479" ht="13.5">
      <c r="G479" s="64"/>
    </row>
    <row r="480" ht="13.5">
      <c r="G480" s="64"/>
    </row>
    <row r="481" ht="13.5">
      <c r="G481" s="64"/>
    </row>
    <row r="482" ht="13.5">
      <c r="G482" s="64"/>
    </row>
    <row r="483" ht="13.5">
      <c r="G483" s="64"/>
    </row>
    <row r="484" ht="13.5">
      <c r="G484" s="64"/>
    </row>
    <row r="485" ht="13.5">
      <c r="G485" s="64"/>
    </row>
    <row r="486" ht="13.5">
      <c r="G486" s="64"/>
    </row>
    <row r="487" ht="13.5">
      <c r="G487" s="64"/>
    </row>
    <row r="488" ht="13.5">
      <c r="G488" s="64"/>
    </row>
    <row r="489" ht="13.5">
      <c r="G489" s="64"/>
    </row>
    <row r="490" ht="13.5">
      <c r="G490" s="64"/>
    </row>
    <row r="491" ht="13.5">
      <c r="G491" s="64"/>
    </row>
    <row r="492" ht="13.5">
      <c r="G492" s="64"/>
    </row>
    <row r="493" ht="13.5">
      <c r="G493" s="64"/>
    </row>
    <row r="494" ht="13.5">
      <c r="G494" s="64"/>
    </row>
    <row r="495" ht="13.5">
      <c r="G495" s="64"/>
    </row>
    <row r="496" ht="13.5">
      <c r="G496" s="64"/>
    </row>
    <row r="497" ht="13.5">
      <c r="G497" s="64"/>
    </row>
    <row r="498" ht="13.5">
      <c r="G498" s="64"/>
    </row>
    <row r="499" ht="13.5">
      <c r="G499" s="64"/>
    </row>
    <row r="500" ht="13.5">
      <c r="G500" s="64"/>
    </row>
    <row r="501" ht="13.5">
      <c r="G501" s="64"/>
    </row>
    <row r="502" ht="13.5">
      <c r="G502" s="64"/>
    </row>
    <row r="503" ht="13.5">
      <c r="G503" s="64"/>
    </row>
    <row r="504" ht="13.5">
      <c r="G504" s="64"/>
    </row>
    <row r="505" ht="13.5">
      <c r="G505" s="64"/>
    </row>
    <row r="506" ht="13.5">
      <c r="G506" s="64"/>
    </row>
    <row r="507" ht="13.5">
      <c r="G507" s="64"/>
    </row>
    <row r="508" ht="13.5">
      <c r="G508" s="64"/>
    </row>
    <row r="509" ht="13.5">
      <c r="G509" s="64"/>
    </row>
    <row r="510" ht="13.5">
      <c r="G510" s="64"/>
    </row>
    <row r="511" ht="13.5">
      <c r="G511" s="64"/>
    </row>
    <row r="512" ht="13.5">
      <c r="G512" s="64"/>
    </row>
    <row r="513" ht="13.5">
      <c r="G513" s="64"/>
    </row>
    <row r="514" ht="13.5">
      <c r="G514" s="64"/>
    </row>
    <row r="515" ht="13.5">
      <c r="G515" s="64"/>
    </row>
    <row r="516" ht="13.5">
      <c r="G516" s="64"/>
    </row>
    <row r="517" ht="13.5">
      <c r="G517" s="64"/>
    </row>
    <row r="518" ht="13.5">
      <c r="G518" s="64"/>
    </row>
    <row r="519" ht="13.5">
      <c r="G519" s="64"/>
    </row>
    <row r="520" ht="13.5">
      <c r="G520" s="64"/>
    </row>
    <row r="521" ht="13.5">
      <c r="G521" s="64"/>
    </row>
    <row r="522" ht="13.5">
      <c r="G522" s="64"/>
    </row>
    <row r="523" ht="13.5">
      <c r="G523" s="64"/>
    </row>
    <row r="524" ht="13.5">
      <c r="G524" s="64"/>
    </row>
    <row r="525" ht="13.5">
      <c r="G525" s="64"/>
    </row>
    <row r="526" ht="13.5">
      <c r="G526" s="64"/>
    </row>
    <row r="527" ht="13.5">
      <c r="G527" s="64"/>
    </row>
    <row r="528" ht="13.5">
      <c r="G528" s="64"/>
    </row>
    <row r="529" ht="13.5">
      <c r="G529" s="64"/>
    </row>
    <row r="530" ht="13.5">
      <c r="G530" s="64"/>
    </row>
    <row r="531" ht="13.5">
      <c r="G531" s="64"/>
    </row>
    <row r="532" ht="13.5">
      <c r="G532" s="64"/>
    </row>
    <row r="533" ht="13.5">
      <c r="G533" s="64"/>
    </row>
    <row r="534" ht="13.5">
      <c r="G534" s="64"/>
    </row>
    <row r="535" ht="13.5">
      <c r="G535" s="64"/>
    </row>
    <row r="536" ht="13.5">
      <c r="G536" s="64"/>
    </row>
    <row r="537" ht="13.5">
      <c r="G537" s="64"/>
    </row>
    <row r="538" ht="13.5">
      <c r="G538" s="64"/>
    </row>
    <row r="539" ht="13.5">
      <c r="G539" s="64"/>
    </row>
    <row r="540" ht="13.5">
      <c r="G540" s="64"/>
    </row>
  </sheetData>
  <sheetProtection/>
  <hyperlinks>
    <hyperlink ref="B6" r:id="rId1" display="www.ivanj.net"/>
    <hyperlink ref="B61" r:id="rId2" display="www.ivanj.net"/>
  </hyperlinks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N57"/>
  <sheetViews>
    <sheetView zoomScale="120" zoomScaleNormal="120" zoomScalePageLayoutView="0" workbookViewId="0" topLeftCell="A1">
      <selection activeCell="E36" sqref="E36"/>
    </sheetView>
  </sheetViews>
  <sheetFormatPr defaultColWidth="9.140625" defaultRowHeight="12.75"/>
  <cols>
    <col min="1" max="1" width="7.28125" style="34" customWidth="1"/>
    <col min="2" max="2" width="33.57421875" style="34" customWidth="1"/>
    <col min="3" max="3" width="15.57421875" style="34" customWidth="1"/>
    <col min="4" max="4" width="9.57421875" style="34" customWidth="1"/>
    <col min="5" max="5" width="16.7109375" style="34" bestFit="1" customWidth="1"/>
    <col min="6" max="6" width="7.00390625" style="34" bestFit="1" customWidth="1"/>
    <col min="7" max="7" width="8.8515625" style="34" customWidth="1"/>
    <col min="8" max="9" width="9.140625" style="34" customWidth="1"/>
    <col min="10" max="10" width="15.57421875" style="34" bestFit="1" customWidth="1"/>
    <col min="11" max="16384" width="9.140625" style="34" customWidth="1"/>
  </cols>
  <sheetData>
    <row r="1" spans="2:7" ht="13.5">
      <c r="B1" s="35" t="s">
        <v>166</v>
      </c>
      <c r="F1"/>
      <c r="G1" s="50" t="s">
        <v>182</v>
      </c>
    </row>
    <row r="2" spans="2:7" ht="13.5">
      <c r="B2" s="37" t="s">
        <v>33</v>
      </c>
      <c r="C2" s="34" t="s">
        <v>218</v>
      </c>
      <c r="F2" s="45"/>
      <c r="G2" s="108"/>
    </row>
    <row r="3" spans="1:7" ht="13.5">
      <c r="A3" s="162"/>
      <c r="B3" s="37" t="s">
        <v>34</v>
      </c>
      <c r="C3" s="34" t="s">
        <v>219</v>
      </c>
      <c r="F3" s="45"/>
      <c r="G3" s="108"/>
    </row>
    <row r="4" spans="2:7" ht="18">
      <c r="B4" s="38" t="s">
        <v>35</v>
      </c>
      <c r="C4" s="34" t="s">
        <v>220</v>
      </c>
      <c r="F4" s="51"/>
      <c r="G4" s="41"/>
    </row>
    <row r="5" spans="3:7" ht="13.5">
      <c r="C5" s="34" t="s">
        <v>378</v>
      </c>
      <c r="F5" s="48"/>
      <c r="G5" s="41"/>
    </row>
    <row r="6" spans="1:7" ht="13.5">
      <c r="A6" s="149"/>
      <c r="B6" s="124" t="s">
        <v>79</v>
      </c>
      <c r="C6" s="45"/>
      <c r="D6" s="45"/>
      <c r="E6" s="45"/>
      <c r="F6" s="48"/>
      <c r="G6" s="41"/>
    </row>
    <row r="7" spans="2:7" ht="16.5">
      <c r="B7" s="39" t="s">
        <v>374</v>
      </c>
      <c r="G7" s="41"/>
    </row>
    <row r="9" ht="12.75" customHeight="1">
      <c r="B9" s="62" t="s">
        <v>150</v>
      </c>
    </row>
    <row r="11" ht="12.75" customHeight="1">
      <c r="B11" s="194" t="s">
        <v>190</v>
      </c>
    </row>
    <row r="13" spans="1:6" ht="13.5" customHeight="1">
      <c r="A13" s="189" t="s">
        <v>66</v>
      </c>
      <c r="B13" s="190" t="s">
        <v>101</v>
      </c>
      <c r="E13" s="176">
        <f>+E46</f>
        <v>11994917</v>
      </c>
      <c r="F13" s="186" t="s">
        <v>82</v>
      </c>
    </row>
    <row r="14" ht="13.5">
      <c r="F14" s="118"/>
    </row>
    <row r="15" spans="1:7" ht="13.5">
      <c r="A15" s="122">
        <v>1</v>
      </c>
      <c r="B15" s="122">
        <v>2</v>
      </c>
      <c r="C15" s="122">
        <v>3</v>
      </c>
      <c r="D15" s="122">
        <v>4</v>
      </c>
      <c r="E15" s="122">
        <v>5</v>
      </c>
      <c r="F15" s="122">
        <v>6</v>
      </c>
      <c r="G15" s="122">
        <v>7</v>
      </c>
    </row>
    <row r="16" spans="3:4" ht="6" customHeight="1" thickBot="1">
      <c r="C16" s="64"/>
      <c r="D16" s="64"/>
    </row>
    <row r="17" spans="1:7" ht="13.5">
      <c r="A17" s="111"/>
      <c r="B17" s="110"/>
      <c r="C17" s="285" t="s">
        <v>363</v>
      </c>
      <c r="D17" s="574" t="s">
        <v>28</v>
      </c>
      <c r="E17" s="570" t="s">
        <v>382</v>
      </c>
      <c r="F17" s="571" t="s">
        <v>28</v>
      </c>
      <c r="G17" s="495" t="s">
        <v>13</v>
      </c>
    </row>
    <row r="18" spans="1:7" ht="14.25" thickBot="1">
      <c r="A18" s="64"/>
      <c r="B18" s="64"/>
      <c r="C18" s="573" t="s">
        <v>16</v>
      </c>
      <c r="D18" s="575" t="s">
        <v>15</v>
      </c>
      <c r="E18" s="96" t="s">
        <v>16</v>
      </c>
      <c r="F18" s="572" t="s">
        <v>15</v>
      </c>
      <c r="G18" s="497" t="s">
        <v>40</v>
      </c>
    </row>
    <row r="19" spans="1:7" ht="6" customHeight="1" thickBot="1">
      <c r="A19" s="64"/>
      <c r="B19" s="64"/>
      <c r="C19" s="144"/>
      <c r="E19" s="100"/>
      <c r="F19" s="100"/>
      <c r="G19" s="156"/>
    </row>
    <row r="20" spans="1:7" ht="13.5">
      <c r="A20" s="109" t="s">
        <v>0</v>
      </c>
      <c r="B20" s="132" t="s">
        <v>9</v>
      </c>
      <c r="C20" s="512">
        <f>+SUM(C21,C26)</f>
        <v>5120000</v>
      </c>
      <c r="D20" s="517">
        <f aca="true" t="shared" si="0" ref="D20:D46">+C20/$C$46*100</f>
        <v>56.395633876460735</v>
      </c>
      <c r="E20" s="278">
        <f>+SUM(E21,E26)</f>
        <v>5923000</v>
      </c>
      <c r="F20" s="517">
        <f>+E20/$E$46*100</f>
        <v>49.379249560459655</v>
      </c>
      <c r="G20" s="472">
        <f aca="true" t="shared" si="1" ref="G20:G46">+E20/C20*100</f>
        <v>115.68359374999999</v>
      </c>
    </row>
    <row r="21" spans="1:7" s="35" customFormat="1" ht="13.5">
      <c r="A21" s="109" t="s">
        <v>53</v>
      </c>
      <c r="B21" s="132" t="s">
        <v>50</v>
      </c>
      <c r="C21" s="513">
        <f>+SUM(C22:C24)</f>
        <v>1560000</v>
      </c>
      <c r="D21" s="518">
        <f t="shared" si="0"/>
        <v>17.183044696734132</v>
      </c>
      <c r="E21" s="396">
        <f>+SUM(E22:E24)</f>
        <v>1862550</v>
      </c>
      <c r="F21" s="518">
        <f>+E21/$E$46*100</f>
        <v>15.527827328859384</v>
      </c>
      <c r="G21" s="198">
        <f t="shared" si="1"/>
        <v>119.39423076923077</v>
      </c>
    </row>
    <row r="22" spans="1:7" ht="13.5">
      <c r="A22" s="36" t="s">
        <v>54</v>
      </c>
      <c r="B22" s="133" t="s">
        <v>51</v>
      </c>
      <c r="C22" s="514">
        <v>1200000</v>
      </c>
      <c r="D22" s="519">
        <f t="shared" si="0"/>
        <v>13.217726689795487</v>
      </c>
      <c r="E22" s="172">
        <v>1200000</v>
      </c>
      <c r="F22" s="519">
        <f aca="true" t="shared" si="2" ref="F22:F46">+E22/$E$46*100</f>
        <v>10.004237628322063</v>
      </c>
      <c r="G22" s="267">
        <f t="shared" si="1"/>
        <v>100</v>
      </c>
    </row>
    <row r="23" spans="1:10" ht="13.5">
      <c r="A23" s="36"/>
      <c r="B23" s="133" t="s">
        <v>392</v>
      </c>
      <c r="C23" s="514"/>
      <c r="D23" s="519"/>
      <c r="E23" s="172">
        <f>242550+60000</f>
        <v>302550</v>
      </c>
      <c r="F23" s="519"/>
      <c r="G23" s="267"/>
      <c r="J23" s="41"/>
    </row>
    <row r="24" spans="1:7" ht="13.5">
      <c r="A24" s="36" t="s">
        <v>55</v>
      </c>
      <c r="B24" s="133" t="s">
        <v>52</v>
      </c>
      <c r="C24" s="514">
        <v>360000</v>
      </c>
      <c r="D24" s="519">
        <f t="shared" si="0"/>
        <v>3.965318006938646</v>
      </c>
      <c r="E24" s="172">
        <f>C24</f>
        <v>360000</v>
      </c>
      <c r="F24" s="519">
        <f t="shared" si="2"/>
        <v>3.001271288496619</v>
      </c>
      <c r="G24" s="267">
        <f t="shared" si="1"/>
        <v>100</v>
      </c>
    </row>
    <row r="25" spans="1:7" ht="13.5">
      <c r="A25" s="36"/>
      <c r="B25" s="133" t="s">
        <v>392</v>
      </c>
      <c r="C25" s="514"/>
      <c r="D25" s="519"/>
      <c r="E25" s="172">
        <f>94050</f>
        <v>94050</v>
      </c>
      <c r="F25" s="519"/>
      <c r="G25" s="267"/>
    </row>
    <row r="26" spans="1:7" s="35" customFormat="1" ht="13.5">
      <c r="A26" s="109" t="s">
        <v>56</v>
      </c>
      <c r="B26" s="132" t="s">
        <v>57</v>
      </c>
      <c r="C26" s="513">
        <f>+SUM(C27:C29)</f>
        <v>3560000</v>
      </c>
      <c r="D26" s="518">
        <f t="shared" si="0"/>
        <v>39.212589179726606</v>
      </c>
      <c r="E26" s="396">
        <f>+SUM(E27:E29)</f>
        <v>4060450</v>
      </c>
      <c r="F26" s="518">
        <f t="shared" si="2"/>
        <v>33.85142223160027</v>
      </c>
      <c r="G26" s="198">
        <f t="shared" si="1"/>
        <v>114.05758426966293</v>
      </c>
    </row>
    <row r="27" spans="1:7" ht="13.5">
      <c r="A27" s="36" t="s">
        <v>58</v>
      </c>
      <c r="B27" s="133" t="s">
        <v>51</v>
      </c>
      <c r="C27" s="514">
        <v>2900000</v>
      </c>
      <c r="D27" s="519">
        <f t="shared" si="0"/>
        <v>31.942839500339087</v>
      </c>
      <c r="E27" s="172">
        <v>2900000</v>
      </c>
      <c r="F27" s="519">
        <f t="shared" si="2"/>
        <v>24.176907601778318</v>
      </c>
      <c r="G27" s="267">
        <f t="shared" si="1"/>
        <v>100</v>
      </c>
    </row>
    <row r="28" spans="1:7" ht="13.5">
      <c r="A28" s="36"/>
      <c r="B28" s="133" t="s">
        <v>392</v>
      </c>
      <c r="C28" s="514"/>
      <c r="D28" s="519"/>
      <c r="E28" s="172">
        <f>450450+50000</f>
        <v>500450</v>
      </c>
      <c r="F28" s="519"/>
      <c r="G28" s="267"/>
    </row>
    <row r="29" spans="1:7" ht="13.5">
      <c r="A29" s="36" t="s">
        <v>59</v>
      </c>
      <c r="B29" s="133" t="s">
        <v>52</v>
      </c>
      <c r="C29" s="514">
        <v>660000</v>
      </c>
      <c r="D29" s="519">
        <f t="shared" si="0"/>
        <v>7.269749679387518</v>
      </c>
      <c r="E29" s="172">
        <f>C29</f>
        <v>660000</v>
      </c>
      <c r="F29" s="519">
        <f t="shared" si="2"/>
        <v>5.502330695577135</v>
      </c>
      <c r="G29" s="267">
        <f t="shared" si="1"/>
        <v>100</v>
      </c>
    </row>
    <row r="30" spans="1:7" ht="13.5">
      <c r="A30" s="36"/>
      <c r="B30" s="133" t="s">
        <v>392</v>
      </c>
      <c r="C30" s="514"/>
      <c r="D30" s="519"/>
      <c r="E30" s="172">
        <f>532950+20000</f>
        <v>552950</v>
      </c>
      <c r="F30" s="519"/>
      <c r="G30" s="267"/>
    </row>
    <row r="31" spans="3:7" ht="6" customHeight="1">
      <c r="C31" s="211"/>
      <c r="D31" s="519"/>
      <c r="E31" s="100"/>
      <c r="F31" s="519"/>
      <c r="G31" s="198"/>
    </row>
    <row r="32" spans="1:7" ht="13.5">
      <c r="A32" s="109" t="s">
        <v>1</v>
      </c>
      <c r="B32" s="132" t="s">
        <v>60</v>
      </c>
      <c r="C32" s="237">
        <f>+SUM(C33:C38)</f>
        <v>3230817</v>
      </c>
      <c r="D32" s="518">
        <f t="shared" si="0"/>
        <v>35.586713408954154</v>
      </c>
      <c r="E32" s="97">
        <f>+SUM(E33:E38)</f>
        <v>5344017</v>
      </c>
      <c r="F32" s="518">
        <f t="shared" si="2"/>
        <v>44.55234663149399</v>
      </c>
      <c r="G32" s="198">
        <f t="shared" si="1"/>
        <v>165.40760433042166</v>
      </c>
    </row>
    <row r="33" spans="1:7" ht="13.5">
      <c r="A33" s="40" t="s">
        <v>62</v>
      </c>
      <c r="B33" s="78" t="s">
        <v>51</v>
      </c>
      <c r="C33" s="514"/>
      <c r="D33" s="519">
        <f t="shared" si="0"/>
        <v>0</v>
      </c>
      <c r="E33" s="172"/>
      <c r="F33" s="519">
        <f t="shared" si="2"/>
        <v>0</v>
      </c>
      <c r="G33" s="198"/>
    </row>
    <row r="34" spans="1:7" ht="13.5">
      <c r="A34" s="40" t="s">
        <v>63</v>
      </c>
      <c r="B34" s="78" t="s">
        <v>61</v>
      </c>
      <c r="C34" s="514">
        <v>2568817</v>
      </c>
      <c r="D34" s="519">
        <f t="shared" si="0"/>
        <v>28.29493418508364</v>
      </c>
      <c r="E34" s="172">
        <v>2568817</v>
      </c>
      <c r="F34" s="519">
        <f t="shared" si="2"/>
        <v>21.415879743061165</v>
      </c>
      <c r="G34" s="267">
        <f t="shared" si="1"/>
        <v>100</v>
      </c>
    </row>
    <row r="35" spans="1:7" ht="13.5">
      <c r="A35" s="40"/>
      <c r="B35" s="78" t="s">
        <v>391</v>
      </c>
      <c r="C35" s="514"/>
      <c r="D35" s="519"/>
      <c r="E35" s="172">
        <f>2030000</f>
        <v>2030000</v>
      </c>
      <c r="F35" s="519"/>
      <c r="G35" s="267"/>
    </row>
    <row r="36" spans="1:7" ht="13.5">
      <c r="A36" s="40" t="s">
        <v>64</v>
      </c>
      <c r="B36" s="78" t="s">
        <v>52</v>
      </c>
      <c r="C36" s="514">
        <f>450000</f>
        <v>450000</v>
      </c>
      <c r="D36" s="519">
        <f t="shared" si="0"/>
        <v>4.956647508673307</v>
      </c>
      <c r="E36" s="172">
        <f>450000</f>
        <v>450000</v>
      </c>
      <c r="F36" s="519">
        <f t="shared" si="2"/>
        <v>3.751589110620774</v>
      </c>
      <c r="G36" s="267">
        <f t="shared" si="1"/>
        <v>100</v>
      </c>
    </row>
    <row r="37" spans="1:7" ht="13.5">
      <c r="A37" s="40" t="s">
        <v>94</v>
      </c>
      <c r="B37" s="78" t="s">
        <v>95</v>
      </c>
      <c r="C37" s="514">
        <v>80000</v>
      </c>
      <c r="D37" s="519">
        <f t="shared" si="0"/>
        <v>0.881181779319699</v>
      </c>
      <c r="E37" s="172">
        <v>150000</v>
      </c>
      <c r="F37" s="519">
        <f t="shared" si="2"/>
        <v>1.2505297035402578</v>
      </c>
      <c r="G37" s="267">
        <f t="shared" si="1"/>
        <v>187.5</v>
      </c>
    </row>
    <row r="38" spans="1:7" ht="15.75" customHeight="1">
      <c r="A38" s="40" t="s">
        <v>156</v>
      </c>
      <c r="B38" s="78" t="s">
        <v>157</v>
      </c>
      <c r="C38" s="514">
        <v>132000</v>
      </c>
      <c r="D38" s="519">
        <f t="shared" si="0"/>
        <v>1.4539499358775032</v>
      </c>
      <c r="E38" s="172">
        <f>C38*1.1</f>
        <v>145200</v>
      </c>
      <c r="F38" s="519">
        <f t="shared" si="2"/>
        <v>1.2105127530269697</v>
      </c>
      <c r="G38" s="198">
        <f t="shared" si="1"/>
        <v>110.00000000000001</v>
      </c>
    </row>
    <row r="39" spans="1:14" ht="13.5">
      <c r="A39" s="75" t="s">
        <v>2</v>
      </c>
      <c r="B39" s="92" t="s">
        <v>158</v>
      </c>
      <c r="C39" s="237">
        <v>25000</v>
      </c>
      <c r="D39" s="518">
        <f t="shared" si="0"/>
        <v>0.27536930603740595</v>
      </c>
      <c r="E39" s="97">
        <v>25000</v>
      </c>
      <c r="F39" s="518">
        <f t="shared" si="2"/>
        <v>0.20842161725670968</v>
      </c>
      <c r="G39" s="198">
        <f t="shared" si="1"/>
        <v>100</v>
      </c>
      <c r="N39" s="172"/>
    </row>
    <row r="40" spans="1:14" ht="13.5">
      <c r="A40" s="75"/>
      <c r="B40" s="92" t="s">
        <v>159</v>
      </c>
      <c r="C40" s="237"/>
      <c r="D40" s="519">
        <f t="shared" si="0"/>
        <v>0</v>
      </c>
      <c r="E40" s="97"/>
      <c r="F40" s="519"/>
      <c r="G40" s="198"/>
      <c r="N40" s="172"/>
    </row>
    <row r="41" spans="1:14" ht="13.5">
      <c r="A41" s="75" t="s">
        <v>3</v>
      </c>
      <c r="B41" s="92" t="s">
        <v>160</v>
      </c>
      <c r="C41" s="237">
        <v>70000</v>
      </c>
      <c r="D41" s="519">
        <f t="shared" si="0"/>
        <v>0.7710340569047366</v>
      </c>
      <c r="E41" s="97">
        <v>70000</v>
      </c>
      <c r="F41" s="518">
        <f t="shared" si="2"/>
        <v>0.583580528318787</v>
      </c>
      <c r="G41" s="198">
        <f t="shared" si="1"/>
        <v>100</v>
      </c>
      <c r="N41" s="172"/>
    </row>
    <row r="42" spans="1:7" ht="6" customHeight="1">
      <c r="A42" s="75"/>
      <c r="B42" s="92"/>
      <c r="C42" s="237"/>
      <c r="D42" s="519"/>
      <c r="E42" s="97"/>
      <c r="F42" s="519"/>
      <c r="G42" s="198"/>
    </row>
    <row r="43" spans="1:7" ht="14.25" thickBot="1">
      <c r="A43" s="75" t="s">
        <v>4</v>
      </c>
      <c r="B43" s="92" t="s">
        <v>161</v>
      </c>
      <c r="C43" s="515">
        <v>632900</v>
      </c>
      <c r="D43" s="520"/>
      <c r="E43" s="516">
        <v>632900</v>
      </c>
      <c r="F43" s="521">
        <f t="shared" si="2"/>
        <v>5.276401662470861</v>
      </c>
      <c r="G43" s="380">
        <f t="shared" si="1"/>
        <v>100</v>
      </c>
    </row>
    <row r="44" spans="1:7" ht="6" customHeight="1">
      <c r="A44" s="75"/>
      <c r="B44" s="92"/>
      <c r="C44" s="99"/>
      <c r="D44" s="283"/>
      <c r="E44" s="97"/>
      <c r="F44" s="288"/>
      <c r="G44" s="158"/>
    </row>
    <row r="45" spans="1:7" ht="6" customHeight="1" thickBot="1">
      <c r="A45" s="75"/>
      <c r="D45" s="202"/>
      <c r="E45" s="100"/>
      <c r="F45" s="288"/>
      <c r="G45" s="158"/>
    </row>
    <row r="46" spans="1:7" ht="14.25" thickBot="1">
      <c r="A46" s="120"/>
      <c r="B46" s="200" t="s">
        <v>65</v>
      </c>
      <c r="C46" s="460">
        <f>+SUM(C20,C32,C39,C41,C43)</f>
        <v>9078717</v>
      </c>
      <c r="D46" s="461">
        <f t="shared" si="0"/>
        <v>100</v>
      </c>
      <c r="E46" s="207">
        <f>+SUM(E20,E32,E39,E41,E43)</f>
        <v>11994917</v>
      </c>
      <c r="F46" s="461">
        <f t="shared" si="2"/>
        <v>100</v>
      </c>
      <c r="G46" s="382">
        <f t="shared" si="1"/>
        <v>132.12127881065132</v>
      </c>
    </row>
    <row r="47" spans="1:7" ht="14.25" thickBot="1">
      <c r="A47" s="75"/>
      <c r="B47" s="92"/>
      <c r="C47" s="99"/>
      <c r="D47" s="73"/>
      <c r="E47" s="97"/>
      <c r="F47" s="170"/>
      <c r="G47" s="99"/>
    </row>
    <row r="48" spans="1:7" ht="13.5" customHeight="1" thickBot="1">
      <c r="A48" s="178" t="s">
        <v>67</v>
      </c>
      <c r="B48" s="184" t="s">
        <v>100</v>
      </c>
      <c r="C48" s="113">
        <f>'PJ-čistoća-rashod-ok'!C180</f>
        <v>7233614.390000001</v>
      </c>
      <c r="D48" s="462"/>
      <c r="E48" s="113">
        <f>'PJ-čistoća-rashod-ok'!E180</f>
        <v>10189811.7675</v>
      </c>
      <c r="F48" s="188" t="s">
        <v>82</v>
      </c>
      <c r="G48" s="99"/>
    </row>
    <row r="49" spans="3:7" ht="13.5">
      <c r="C49" s="100"/>
      <c r="E49" s="100"/>
      <c r="F49" s="100"/>
      <c r="G49" s="100"/>
    </row>
    <row r="50" spans="1:7" ht="13.5">
      <c r="A50" s="177"/>
      <c r="B50" s="194" t="s">
        <v>69</v>
      </c>
      <c r="C50" s="139">
        <f>+C46-C48</f>
        <v>1845102.6099999994</v>
      </c>
      <c r="D50" s="41"/>
      <c r="E50" s="139">
        <f>+E46-E48</f>
        <v>1805105.2325</v>
      </c>
      <c r="F50" s="140" t="s">
        <v>82</v>
      </c>
      <c r="G50" s="100"/>
    </row>
    <row r="51" spans="3:7" ht="13.5">
      <c r="C51" s="41"/>
      <c r="D51" s="41"/>
      <c r="E51" s="41"/>
      <c r="F51" s="41"/>
      <c r="G51" s="100"/>
    </row>
    <row r="52" spans="3:6" ht="13.5">
      <c r="C52" s="175"/>
      <c r="F52" s="118"/>
    </row>
    <row r="53" spans="3:6" ht="13.5">
      <c r="C53" s="41"/>
      <c r="D53" s="41"/>
      <c r="E53" s="41"/>
      <c r="F53" s="41"/>
    </row>
    <row r="56" spans="3:4" ht="13.5">
      <c r="C56" s="71"/>
      <c r="D56" s="71"/>
    </row>
    <row r="57" ht="13.5">
      <c r="D57" s="71"/>
    </row>
  </sheetData>
  <sheetProtection/>
  <hyperlinks>
    <hyperlink ref="B6" r:id="rId1" display="www.ivanj.net"/>
  </hyperlinks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PageLayoutView="0" workbookViewId="0" topLeftCell="A1">
      <selection activeCell="L1" sqref="L1:L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I373"/>
  <sheetViews>
    <sheetView zoomScalePageLayoutView="0" workbookViewId="0" topLeftCell="A91">
      <selection activeCell="L127" sqref="L127"/>
    </sheetView>
  </sheetViews>
  <sheetFormatPr defaultColWidth="8.8515625" defaultRowHeight="12.75"/>
  <cols>
    <col min="1" max="1" width="7.7109375" style="161" customWidth="1"/>
    <col min="2" max="2" width="36.28125" style="161" customWidth="1"/>
    <col min="3" max="3" width="14.57421875" style="161" customWidth="1"/>
    <col min="4" max="4" width="7.00390625" style="161" bestFit="1" customWidth="1"/>
    <col min="5" max="5" width="14.140625" style="161" bestFit="1" customWidth="1"/>
    <col min="6" max="6" width="7.00390625" style="161" bestFit="1" customWidth="1"/>
    <col min="7" max="7" width="8.7109375" style="161" customWidth="1"/>
    <col min="8" max="16384" width="8.8515625" style="161" customWidth="1"/>
  </cols>
  <sheetData>
    <row r="1" spans="1:7" ht="13.5">
      <c r="A1" s="34"/>
      <c r="B1" s="35" t="s">
        <v>166</v>
      </c>
      <c r="C1" s="34"/>
      <c r="D1" s="34"/>
      <c r="E1" s="34"/>
      <c r="F1"/>
      <c r="G1" s="304" t="s">
        <v>183</v>
      </c>
    </row>
    <row r="2" spans="1:6" ht="13.5">
      <c r="A2" s="34"/>
      <c r="B2" s="37" t="s">
        <v>33</v>
      </c>
      <c r="C2" s="34" t="s">
        <v>218</v>
      </c>
      <c r="D2" s="34"/>
      <c r="E2" s="34"/>
      <c r="F2" s="45"/>
    </row>
    <row r="3" spans="1:6" ht="13.5">
      <c r="A3" s="162"/>
      <c r="B3" s="37" t="s">
        <v>34</v>
      </c>
      <c r="C3" s="34" t="s">
        <v>219</v>
      </c>
      <c r="D3" s="34"/>
      <c r="E3" s="34"/>
      <c r="F3" s="45"/>
    </row>
    <row r="4" spans="1:6" ht="18">
      <c r="A4" s="34"/>
      <c r="B4" s="38" t="s">
        <v>35</v>
      </c>
      <c r="C4" s="34" t="s">
        <v>220</v>
      </c>
      <c r="D4" s="34"/>
      <c r="E4" s="34"/>
      <c r="F4" s="51"/>
    </row>
    <row r="5" spans="1:6" ht="13.5">
      <c r="A5" s="34"/>
      <c r="B5" s="34"/>
      <c r="C5" s="34" t="s">
        <v>378</v>
      </c>
      <c r="D5" s="34"/>
      <c r="E5" s="34"/>
      <c r="F5" s="48"/>
    </row>
    <row r="6" spans="1:7" ht="12.75">
      <c r="A6" s="149"/>
      <c r="B6" s="124" t="s">
        <v>79</v>
      </c>
      <c r="C6" s="45"/>
      <c r="D6" s="45"/>
      <c r="E6" s="45"/>
      <c r="F6" s="48"/>
      <c r="G6" s="306"/>
    </row>
    <row r="7" spans="1:7" ht="12.75">
      <c r="A7" s="303"/>
      <c r="B7" s="307" t="s">
        <v>374</v>
      </c>
      <c r="C7" s="79"/>
      <c r="D7" s="79"/>
      <c r="E7" s="79"/>
      <c r="F7" s="306"/>
      <c r="G7" s="306"/>
    </row>
    <row r="8" spans="2:6" ht="12.75">
      <c r="B8" s="79"/>
      <c r="C8" s="79"/>
      <c r="D8" s="79"/>
      <c r="E8" s="79"/>
      <c r="F8" s="303"/>
    </row>
    <row r="9" spans="1:6" ht="12.75">
      <c r="A9" s="303"/>
      <c r="B9" s="302" t="s">
        <v>151</v>
      </c>
      <c r="C9" s="79"/>
      <c r="D9" s="79"/>
      <c r="E9" s="79"/>
      <c r="F9" s="303"/>
    </row>
    <row r="10" spans="1:6" ht="12.75">
      <c r="A10" s="303"/>
      <c r="B10" s="79"/>
      <c r="C10" s="79"/>
      <c r="D10" s="79"/>
      <c r="E10" s="79"/>
      <c r="F10" s="303"/>
    </row>
    <row r="11" spans="2:5" ht="11.25">
      <c r="B11" s="308" t="s">
        <v>190</v>
      </c>
      <c r="C11" s="79"/>
      <c r="D11" s="79"/>
      <c r="E11" s="79"/>
    </row>
    <row r="13" spans="1:7" ht="12" thickBot="1">
      <c r="A13" s="122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2">
        <v>7</v>
      </c>
    </row>
    <row r="14" spans="1:7" ht="13.5">
      <c r="A14" s="302"/>
      <c r="B14" s="309" t="s">
        <v>7</v>
      </c>
      <c r="C14" s="310" t="s">
        <v>365</v>
      </c>
      <c r="D14" s="311" t="s">
        <v>28</v>
      </c>
      <c r="E14" s="643" t="s">
        <v>380</v>
      </c>
      <c r="F14" s="311" t="s">
        <v>28</v>
      </c>
      <c r="G14" s="155" t="s">
        <v>13</v>
      </c>
    </row>
    <row r="15" spans="3:7" ht="12" thickBot="1">
      <c r="C15" s="204" t="s">
        <v>16</v>
      </c>
      <c r="D15" s="197" t="s">
        <v>15</v>
      </c>
      <c r="E15" s="204" t="s">
        <v>16</v>
      </c>
      <c r="F15" s="197" t="s">
        <v>15</v>
      </c>
      <c r="G15" s="195" t="s">
        <v>40</v>
      </c>
    </row>
    <row r="16" spans="1:7" ht="12" thickBot="1">
      <c r="A16" s="79"/>
      <c r="B16" s="79"/>
      <c r="C16" s="175"/>
      <c r="D16" s="79"/>
      <c r="E16" s="175"/>
      <c r="F16" s="79"/>
      <c r="G16" s="148"/>
    </row>
    <row r="17" spans="1:7" ht="11.25">
      <c r="A17" s="79" t="s">
        <v>222</v>
      </c>
      <c r="B17" s="79"/>
      <c r="C17" s="433">
        <v>0</v>
      </c>
      <c r="D17" s="360">
        <f>$C17/$C$180*100</f>
        <v>0</v>
      </c>
      <c r="E17" s="501">
        <v>0</v>
      </c>
      <c r="F17" s="360">
        <f>$E17/$E$180*100</f>
        <v>0</v>
      </c>
      <c r="G17" s="386" t="e">
        <f>E17/C17*100</f>
        <v>#DIV/0!</v>
      </c>
    </row>
    <row r="18" spans="1:7" ht="11.25">
      <c r="A18" s="79" t="s">
        <v>388</v>
      </c>
      <c r="B18" s="79"/>
      <c r="C18" s="319"/>
      <c r="D18" s="361"/>
      <c r="E18" s="329">
        <v>2820000</v>
      </c>
      <c r="F18" s="361">
        <f aca="true" t="shared" si="0" ref="F18:F38">$E18/$E$180*100</f>
        <v>27.674701597474822</v>
      </c>
      <c r="G18" s="387" t="e">
        <f>E18/C18*100</f>
        <v>#DIV/0!</v>
      </c>
    </row>
    <row r="19" spans="1:8" ht="13.5">
      <c r="A19" s="79" t="s">
        <v>223</v>
      </c>
      <c r="B19" s="79"/>
      <c r="C19" s="319">
        <v>195000</v>
      </c>
      <c r="D19" s="361">
        <f aca="true" t="shared" si="1" ref="D19:D38">$C19/$C$180*100</f>
        <v>2.6957477892320987</v>
      </c>
      <c r="E19" s="329">
        <v>100000</v>
      </c>
      <c r="F19" s="361">
        <f t="shared" si="0"/>
        <v>0.9813723970735753</v>
      </c>
      <c r="G19" s="387">
        <f aca="true" t="shared" si="2" ref="G19:G38">E19/C19*100</f>
        <v>51.28205128205128</v>
      </c>
      <c r="H19" s="60"/>
    </row>
    <row r="20" spans="1:8" ht="13.5">
      <c r="A20" s="79" t="s">
        <v>224</v>
      </c>
      <c r="B20" s="79"/>
      <c r="C20" s="319">
        <v>20000</v>
      </c>
      <c r="D20" s="361">
        <f t="shared" si="1"/>
        <v>0.2764869527417537</v>
      </c>
      <c r="E20" s="329">
        <v>20000</v>
      </c>
      <c r="F20" s="361">
        <f t="shared" si="0"/>
        <v>0.19627447941471507</v>
      </c>
      <c r="G20" s="387">
        <f t="shared" si="2"/>
        <v>100</v>
      </c>
      <c r="H20" s="60"/>
    </row>
    <row r="21" spans="1:8" ht="13.5">
      <c r="A21" s="79" t="s">
        <v>240</v>
      </c>
      <c r="B21" s="79"/>
      <c r="C21" s="319"/>
      <c r="D21" s="361">
        <f t="shared" si="1"/>
        <v>0</v>
      </c>
      <c r="E21" s="329"/>
      <c r="F21" s="361">
        <f t="shared" si="0"/>
        <v>0</v>
      </c>
      <c r="G21" s="387" t="e">
        <f t="shared" si="2"/>
        <v>#DIV/0!</v>
      </c>
      <c r="H21" s="60"/>
    </row>
    <row r="22" spans="1:8" ht="13.5">
      <c r="A22" s="79" t="s">
        <v>225</v>
      </c>
      <c r="B22" s="79"/>
      <c r="C22" s="319">
        <v>15000</v>
      </c>
      <c r="D22" s="361">
        <f t="shared" si="1"/>
        <v>0.20736521455631532</v>
      </c>
      <c r="E22" s="329">
        <v>15000</v>
      </c>
      <c r="F22" s="361">
        <f t="shared" si="0"/>
        <v>0.1472058595610363</v>
      </c>
      <c r="G22" s="387">
        <f t="shared" si="2"/>
        <v>100</v>
      </c>
      <c r="H22" s="60"/>
    </row>
    <row r="23" spans="1:8" ht="13.5">
      <c r="A23" s="79" t="s">
        <v>226</v>
      </c>
      <c r="B23" s="79"/>
      <c r="C23" s="319">
        <v>25000</v>
      </c>
      <c r="D23" s="361">
        <f t="shared" si="1"/>
        <v>0.34560869092719215</v>
      </c>
      <c r="E23" s="329">
        <v>25000</v>
      </c>
      <c r="F23" s="361">
        <f t="shared" si="0"/>
        <v>0.24534309926839382</v>
      </c>
      <c r="G23" s="387">
        <f t="shared" si="2"/>
        <v>100</v>
      </c>
      <c r="H23" s="60"/>
    </row>
    <row r="24" spans="1:8" ht="13.5">
      <c r="A24" s="79" t="s">
        <v>227</v>
      </c>
      <c r="B24" s="79"/>
      <c r="C24" s="319"/>
      <c r="D24" s="361">
        <f t="shared" si="1"/>
        <v>0</v>
      </c>
      <c r="E24" s="329"/>
      <c r="F24" s="361">
        <f t="shared" si="0"/>
        <v>0</v>
      </c>
      <c r="G24" s="387" t="e">
        <f t="shared" si="2"/>
        <v>#DIV/0!</v>
      </c>
      <c r="H24" s="60"/>
    </row>
    <row r="25" spans="1:8" ht="13.5">
      <c r="A25" s="79" t="s">
        <v>228</v>
      </c>
      <c r="B25" s="79"/>
      <c r="C25" s="319"/>
      <c r="D25" s="361">
        <f t="shared" si="1"/>
        <v>0</v>
      </c>
      <c r="E25" s="329"/>
      <c r="F25" s="361">
        <f t="shared" si="0"/>
        <v>0</v>
      </c>
      <c r="G25" s="387" t="e">
        <f t="shared" si="2"/>
        <v>#DIV/0!</v>
      </c>
      <c r="H25" s="60"/>
    </row>
    <row r="26" spans="1:8" ht="13.5">
      <c r="A26" s="79" t="s">
        <v>229</v>
      </c>
      <c r="B26" s="79"/>
      <c r="C26" s="319"/>
      <c r="D26" s="361">
        <f t="shared" si="1"/>
        <v>0</v>
      </c>
      <c r="E26" s="329"/>
      <c r="F26" s="361">
        <f t="shared" si="0"/>
        <v>0</v>
      </c>
      <c r="G26" s="387" t="e">
        <f t="shared" si="2"/>
        <v>#DIV/0!</v>
      </c>
      <c r="H26" s="60"/>
    </row>
    <row r="27" spans="1:8" ht="13.5">
      <c r="A27" s="79" t="s">
        <v>230</v>
      </c>
      <c r="B27" s="79"/>
      <c r="C27" s="319"/>
      <c r="D27" s="361">
        <f t="shared" si="1"/>
        <v>0</v>
      </c>
      <c r="E27" s="329"/>
      <c r="F27" s="361">
        <f t="shared" si="0"/>
        <v>0</v>
      </c>
      <c r="G27" s="387" t="e">
        <f t="shared" si="2"/>
        <v>#DIV/0!</v>
      </c>
      <c r="H27" s="60"/>
    </row>
    <row r="28" spans="1:8" ht="13.5">
      <c r="A28" s="79" t="s">
        <v>231</v>
      </c>
      <c r="B28" s="79"/>
      <c r="C28" s="319">
        <v>80000</v>
      </c>
      <c r="D28" s="361">
        <f t="shared" si="1"/>
        <v>1.1059478109670149</v>
      </c>
      <c r="E28" s="329">
        <v>80000</v>
      </c>
      <c r="F28" s="361">
        <f t="shared" si="0"/>
        <v>0.7850979176588603</v>
      </c>
      <c r="G28" s="387">
        <f t="shared" si="2"/>
        <v>100</v>
      </c>
      <c r="H28" s="60"/>
    </row>
    <row r="29" spans="1:8" ht="13.5">
      <c r="A29" s="79" t="s">
        <v>372</v>
      </c>
      <c r="B29" s="79"/>
      <c r="C29" s="319">
        <v>55000</v>
      </c>
      <c r="D29" s="361">
        <f t="shared" si="1"/>
        <v>0.7603391200398227</v>
      </c>
      <c r="E29" s="329">
        <v>55000</v>
      </c>
      <c r="F29" s="361">
        <f t="shared" si="0"/>
        <v>0.5397548183904665</v>
      </c>
      <c r="G29" s="387">
        <f t="shared" si="2"/>
        <v>100</v>
      </c>
      <c r="H29" s="60"/>
    </row>
    <row r="30" spans="1:8" ht="13.5">
      <c r="A30" s="79" t="s">
        <v>232</v>
      </c>
      <c r="B30" s="79"/>
      <c r="C30" s="319">
        <v>120000</v>
      </c>
      <c r="D30" s="361">
        <f t="shared" si="1"/>
        <v>1.6589217164505226</v>
      </c>
      <c r="E30" s="329">
        <v>120000</v>
      </c>
      <c r="F30" s="361">
        <f t="shared" si="0"/>
        <v>1.1776468764882904</v>
      </c>
      <c r="G30" s="387">
        <f t="shared" si="2"/>
        <v>100</v>
      </c>
      <c r="H30" s="60"/>
    </row>
    <row r="31" spans="1:8" ht="13.5">
      <c r="A31" s="79" t="s">
        <v>233</v>
      </c>
      <c r="B31" s="79"/>
      <c r="C31" s="314"/>
      <c r="D31" s="361">
        <f t="shared" si="1"/>
        <v>0</v>
      </c>
      <c r="E31" s="333"/>
      <c r="F31" s="361">
        <f t="shared" si="0"/>
        <v>0</v>
      </c>
      <c r="G31" s="387" t="e">
        <f t="shared" si="2"/>
        <v>#DIV/0!</v>
      </c>
      <c r="H31" s="60"/>
    </row>
    <row r="32" spans="1:8" ht="14.25" thickBot="1">
      <c r="A32" s="79" t="s">
        <v>234</v>
      </c>
      <c r="B32" s="79"/>
      <c r="C32" s="314"/>
      <c r="D32" s="361">
        <f t="shared" si="1"/>
        <v>0</v>
      </c>
      <c r="E32" s="333"/>
      <c r="F32" s="361">
        <f t="shared" si="0"/>
        <v>0</v>
      </c>
      <c r="G32" s="387" t="e">
        <f t="shared" si="2"/>
        <v>#DIV/0!</v>
      </c>
      <c r="H32" s="60"/>
    </row>
    <row r="33" spans="1:9" ht="14.25" thickBot="1">
      <c r="A33" s="79" t="s">
        <v>235</v>
      </c>
      <c r="B33" s="79"/>
      <c r="C33" s="314">
        <v>10000</v>
      </c>
      <c r="D33" s="361">
        <f t="shared" si="1"/>
        <v>0.13824347637087686</v>
      </c>
      <c r="E33" s="333">
        <v>10000</v>
      </c>
      <c r="F33" s="361">
        <f t="shared" si="0"/>
        <v>0.09813723970735753</v>
      </c>
      <c r="G33" s="387">
        <f t="shared" si="2"/>
        <v>100</v>
      </c>
      <c r="H33" s="60"/>
      <c r="I33" s="317"/>
    </row>
    <row r="34" spans="1:8" ht="13.5">
      <c r="A34" s="79" t="s">
        <v>236</v>
      </c>
      <c r="B34" s="79"/>
      <c r="C34" s="314"/>
      <c r="D34" s="361">
        <f t="shared" si="1"/>
        <v>0</v>
      </c>
      <c r="E34" s="333"/>
      <c r="F34" s="361">
        <f t="shared" si="0"/>
        <v>0</v>
      </c>
      <c r="G34" s="387" t="e">
        <f t="shared" si="2"/>
        <v>#DIV/0!</v>
      </c>
      <c r="H34" s="60"/>
    </row>
    <row r="35" spans="1:8" ht="13.5">
      <c r="A35" s="79" t="s">
        <v>237</v>
      </c>
      <c r="B35" s="79"/>
      <c r="C35" s="314">
        <v>860000</v>
      </c>
      <c r="D35" s="361">
        <f t="shared" si="1"/>
        <v>11.888938967895411</v>
      </c>
      <c r="E35" s="333">
        <v>850000</v>
      </c>
      <c r="F35" s="361">
        <f t="shared" si="0"/>
        <v>8.34166537512539</v>
      </c>
      <c r="G35" s="387">
        <f t="shared" si="2"/>
        <v>98.83720930232558</v>
      </c>
      <c r="H35" s="60"/>
    </row>
    <row r="36" spans="1:8" ht="13.5">
      <c r="A36" s="79" t="s">
        <v>238</v>
      </c>
      <c r="B36" s="79"/>
      <c r="C36" s="314"/>
      <c r="D36" s="361">
        <f t="shared" si="1"/>
        <v>0</v>
      </c>
      <c r="E36" s="333"/>
      <c r="F36" s="361">
        <f t="shared" si="0"/>
        <v>0</v>
      </c>
      <c r="G36" s="387" t="e">
        <f t="shared" si="2"/>
        <v>#DIV/0!</v>
      </c>
      <c r="H36" s="60"/>
    </row>
    <row r="37" spans="1:7" ht="12" thickBot="1">
      <c r="A37" s="79" t="s">
        <v>239</v>
      </c>
      <c r="B37" s="79"/>
      <c r="C37" s="315"/>
      <c r="D37" s="362">
        <f t="shared" si="1"/>
        <v>0</v>
      </c>
      <c r="E37" s="522"/>
      <c r="F37" s="362">
        <f t="shared" si="0"/>
        <v>0</v>
      </c>
      <c r="G37" s="388" t="e">
        <f t="shared" si="2"/>
        <v>#DIV/0!</v>
      </c>
    </row>
    <row r="38" spans="1:7" ht="12" thickBot="1">
      <c r="A38" s="302">
        <v>40</v>
      </c>
      <c r="B38" s="316" t="s">
        <v>12</v>
      </c>
      <c r="C38" s="390">
        <f>+SUM(C17:C37)</f>
        <v>1380000</v>
      </c>
      <c r="D38" s="362">
        <f t="shared" si="1"/>
        <v>19.077599739181007</v>
      </c>
      <c r="E38" s="502">
        <f>+SUM(E17:E37)</f>
        <v>4095000</v>
      </c>
      <c r="F38" s="362">
        <f t="shared" si="0"/>
        <v>40.18719966016291</v>
      </c>
      <c r="G38" s="388">
        <f t="shared" si="2"/>
        <v>296.7391304347826</v>
      </c>
    </row>
    <row r="39" spans="1:7" ht="12" thickBot="1">
      <c r="A39" s="302"/>
      <c r="B39" s="302"/>
      <c r="C39" s="318"/>
      <c r="D39" s="187"/>
      <c r="E39" s="318"/>
      <c r="F39" s="187"/>
      <c r="G39" s="313"/>
    </row>
    <row r="40" spans="1:8" ht="13.5">
      <c r="A40" s="79" t="s">
        <v>241</v>
      </c>
      <c r="B40" s="312"/>
      <c r="C40" s="320">
        <f>180000-13500</f>
        <v>166500</v>
      </c>
      <c r="D40" s="360">
        <f aca="true" t="shared" si="3" ref="D40:D58">$C40/$C$180*100</f>
        <v>2.3017538815750997</v>
      </c>
      <c r="E40" s="523">
        <v>166500</v>
      </c>
      <c r="F40" s="360">
        <f aca="true" t="shared" si="4" ref="F40:F58">$E40/$E$180*100</f>
        <v>1.6339850411275028</v>
      </c>
      <c r="G40" s="383">
        <f aca="true" t="shared" si="5" ref="G40:G58">E40/C40*100</f>
        <v>100</v>
      </c>
      <c r="H40" s="60">
        <v>4101</v>
      </c>
    </row>
    <row r="41" spans="1:8" ht="13.5">
      <c r="A41" s="79" t="s">
        <v>242</v>
      </c>
      <c r="B41" s="312"/>
      <c r="C41" s="314">
        <v>20000</v>
      </c>
      <c r="D41" s="361">
        <f t="shared" si="3"/>
        <v>0.2764869527417537</v>
      </c>
      <c r="E41" s="333">
        <v>20000</v>
      </c>
      <c r="F41" s="361">
        <f t="shared" si="4"/>
        <v>0.19627447941471507</v>
      </c>
      <c r="G41" s="384">
        <f t="shared" si="5"/>
        <v>100</v>
      </c>
      <c r="H41" s="60">
        <v>4105</v>
      </c>
    </row>
    <row r="42" spans="1:8" ht="13.5">
      <c r="A42" s="79" t="s">
        <v>243</v>
      </c>
      <c r="B42" s="312"/>
      <c r="C42" s="314"/>
      <c r="D42" s="361">
        <f t="shared" si="3"/>
        <v>0</v>
      </c>
      <c r="E42" s="333"/>
      <c r="F42" s="361">
        <f t="shared" si="4"/>
        <v>0</v>
      </c>
      <c r="G42" s="384" t="e">
        <f t="shared" si="5"/>
        <v>#DIV/0!</v>
      </c>
      <c r="H42" s="60">
        <v>41051</v>
      </c>
    </row>
    <row r="43" spans="1:8" ht="13.5">
      <c r="A43" s="79" t="s">
        <v>244</v>
      </c>
      <c r="B43" s="312"/>
      <c r="C43" s="314">
        <v>250000</v>
      </c>
      <c r="D43" s="361">
        <f t="shared" si="3"/>
        <v>3.4560869092719217</v>
      </c>
      <c r="E43" s="333">
        <v>150000</v>
      </c>
      <c r="F43" s="361">
        <f t="shared" si="4"/>
        <v>1.472058595610363</v>
      </c>
      <c r="G43" s="384">
        <f t="shared" si="5"/>
        <v>60</v>
      </c>
      <c r="H43" s="60">
        <v>4120</v>
      </c>
    </row>
    <row r="44" spans="1:8" ht="13.5">
      <c r="A44" s="79" t="s">
        <v>245</v>
      </c>
      <c r="B44" s="312"/>
      <c r="C44" s="314"/>
      <c r="D44" s="361">
        <f t="shared" si="3"/>
        <v>0</v>
      </c>
      <c r="E44" s="333"/>
      <c r="F44" s="361">
        <f t="shared" si="4"/>
        <v>0</v>
      </c>
      <c r="G44" s="384" t="e">
        <f t="shared" si="5"/>
        <v>#DIV/0!</v>
      </c>
      <c r="H44" s="60">
        <v>4121</v>
      </c>
    </row>
    <row r="45" spans="1:8" ht="13.5">
      <c r="A45" s="79" t="s">
        <v>246</v>
      </c>
      <c r="B45" s="312"/>
      <c r="C45" s="314"/>
      <c r="D45" s="361">
        <f t="shared" si="3"/>
        <v>0</v>
      </c>
      <c r="E45" s="333"/>
      <c r="F45" s="361">
        <f t="shared" si="4"/>
        <v>0</v>
      </c>
      <c r="G45" s="384" t="e">
        <f t="shared" si="5"/>
        <v>#DIV/0!</v>
      </c>
      <c r="H45" s="60">
        <v>4128</v>
      </c>
    </row>
    <row r="46" spans="1:8" ht="13.5">
      <c r="A46" s="79" t="s">
        <v>247</v>
      </c>
      <c r="B46" s="312"/>
      <c r="C46" s="314">
        <v>400000</v>
      </c>
      <c r="D46" s="361">
        <f t="shared" si="3"/>
        <v>5.529739054835074</v>
      </c>
      <c r="E46" s="333">
        <v>199000</v>
      </c>
      <c r="F46" s="361">
        <f t="shared" si="4"/>
        <v>1.9529310701764149</v>
      </c>
      <c r="G46" s="384">
        <f t="shared" si="5"/>
        <v>49.75</v>
      </c>
      <c r="H46" s="60">
        <v>4137</v>
      </c>
    </row>
    <row r="47" spans="1:8" ht="13.5">
      <c r="A47" s="79" t="s">
        <v>248</v>
      </c>
      <c r="B47" s="312"/>
      <c r="C47" s="314"/>
      <c r="D47" s="361">
        <f t="shared" si="3"/>
        <v>0</v>
      </c>
      <c r="E47" s="333"/>
      <c r="F47" s="361">
        <f t="shared" si="4"/>
        <v>0</v>
      </c>
      <c r="G47" s="384" t="e">
        <f t="shared" si="5"/>
        <v>#DIV/0!</v>
      </c>
      <c r="H47" s="60">
        <v>4140</v>
      </c>
    </row>
    <row r="48" spans="1:8" ht="13.5">
      <c r="A48" s="79" t="s">
        <v>249</v>
      </c>
      <c r="B48" s="312"/>
      <c r="C48" s="314"/>
      <c r="D48" s="361">
        <f t="shared" si="3"/>
        <v>0</v>
      </c>
      <c r="E48" s="333"/>
      <c r="F48" s="361">
        <f t="shared" si="4"/>
        <v>0</v>
      </c>
      <c r="G48" s="384" t="e">
        <f t="shared" si="5"/>
        <v>#DIV/0!</v>
      </c>
      <c r="H48" s="60">
        <v>4150</v>
      </c>
    </row>
    <row r="49" spans="1:8" ht="13.5">
      <c r="A49" s="79" t="s">
        <v>250</v>
      </c>
      <c r="B49" s="312"/>
      <c r="C49" s="319">
        <v>124000</v>
      </c>
      <c r="D49" s="361">
        <f t="shared" si="3"/>
        <v>1.714219106998873</v>
      </c>
      <c r="E49" s="329">
        <v>124000</v>
      </c>
      <c r="F49" s="361">
        <f t="shared" si="4"/>
        <v>1.2169017723712334</v>
      </c>
      <c r="G49" s="384">
        <f t="shared" si="5"/>
        <v>100</v>
      </c>
      <c r="H49" s="60"/>
    </row>
    <row r="50" spans="1:8" ht="13.5">
      <c r="A50" s="79" t="s">
        <v>251</v>
      </c>
      <c r="B50" s="312"/>
      <c r="C50" s="319"/>
      <c r="D50" s="361">
        <f t="shared" si="3"/>
        <v>0</v>
      </c>
      <c r="E50" s="329"/>
      <c r="F50" s="361">
        <f t="shared" si="4"/>
        <v>0</v>
      </c>
      <c r="G50" s="384" t="e">
        <f t="shared" si="5"/>
        <v>#DIV/0!</v>
      </c>
      <c r="H50" s="412">
        <v>4161</v>
      </c>
    </row>
    <row r="51" spans="1:8" ht="13.5">
      <c r="A51" s="79" t="s">
        <v>252</v>
      </c>
      <c r="B51" s="312"/>
      <c r="C51" s="314">
        <v>0</v>
      </c>
      <c r="D51" s="361">
        <f t="shared" si="3"/>
        <v>0</v>
      </c>
      <c r="E51" s="333">
        <v>0</v>
      </c>
      <c r="F51" s="361">
        <f t="shared" si="4"/>
        <v>0</v>
      </c>
      <c r="G51" s="384" t="e">
        <f t="shared" si="5"/>
        <v>#DIV/0!</v>
      </c>
      <c r="H51" s="60">
        <v>4166</v>
      </c>
    </row>
    <row r="52" spans="1:8" ht="13.5">
      <c r="A52" s="79" t="s">
        <v>253</v>
      </c>
      <c r="B52" s="312"/>
      <c r="C52" s="314">
        <v>250000</v>
      </c>
      <c r="D52" s="361">
        <f t="shared" si="3"/>
        <v>3.4560869092719217</v>
      </c>
      <c r="E52" s="333">
        <v>250000</v>
      </c>
      <c r="F52" s="361">
        <f t="shared" si="4"/>
        <v>2.453430992683938</v>
      </c>
      <c r="G52" s="384">
        <f t="shared" si="5"/>
        <v>100</v>
      </c>
      <c r="H52" s="60">
        <v>4167</v>
      </c>
    </row>
    <row r="53" spans="1:8" ht="13.5">
      <c r="A53" s="79" t="s">
        <v>254</v>
      </c>
      <c r="B53" s="312"/>
      <c r="C53" s="319"/>
      <c r="D53" s="361">
        <f t="shared" si="3"/>
        <v>0</v>
      </c>
      <c r="E53" s="329"/>
      <c r="F53" s="361">
        <f t="shared" si="4"/>
        <v>0</v>
      </c>
      <c r="G53" s="384" t="e">
        <f t="shared" si="5"/>
        <v>#DIV/0!</v>
      </c>
      <c r="H53" s="60">
        <v>4176</v>
      </c>
    </row>
    <row r="54" spans="1:8" ht="13.5">
      <c r="A54" s="79" t="s">
        <v>255</v>
      </c>
      <c r="B54" s="312"/>
      <c r="C54" s="314"/>
      <c r="D54" s="361">
        <f t="shared" si="3"/>
        <v>0</v>
      </c>
      <c r="E54" s="333"/>
      <c r="F54" s="361">
        <f t="shared" si="4"/>
        <v>0</v>
      </c>
      <c r="G54" s="384" t="e">
        <f t="shared" si="5"/>
        <v>#DIV/0!</v>
      </c>
      <c r="H54" s="60">
        <v>4179</v>
      </c>
    </row>
    <row r="55" spans="1:8" ht="13.5">
      <c r="A55" s="79" t="s">
        <v>256</v>
      </c>
      <c r="B55" s="312"/>
      <c r="C55" s="319"/>
      <c r="D55" s="361">
        <f t="shared" si="3"/>
        <v>0</v>
      </c>
      <c r="E55" s="329"/>
      <c r="F55" s="361">
        <f t="shared" si="4"/>
        <v>0</v>
      </c>
      <c r="G55" s="384" t="e">
        <f t="shared" si="5"/>
        <v>#DIV/0!</v>
      </c>
      <c r="H55" s="60">
        <v>4180</v>
      </c>
    </row>
    <row r="56" spans="1:8" ht="13.5">
      <c r="A56" s="79" t="s">
        <v>257</v>
      </c>
      <c r="B56" s="312"/>
      <c r="C56" s="319"/>
      <c r="D56" s="361">
        <f t="shared" si="3"/>
        <v>0</v>
      </c>
      <c r="E56" s="329"/>
      <c r="F56" s="361">
        <f t="shared" si="4"/>
        <v>0</v>
      </c>
      <c r="G56" s="384" t="e">
        <f t="shared" si="5"/>
        <v>#DIV/0!</v>
      </c>
      <c r="H56" s="60">
        <v>4190</v>
      </c>
    </row>
    <row r="57" spans="1:8" ht="13.5">
      <c r="A57" s="79" t="s">
        <v>258</v>
      </c>
      <c r="B57" s="312"/>
      <c r="C57" s="314">
        <v>275000</v>
      </c>
      <c r="D57" s="361">
        <f t="shared" si="3"/>
        <v>3.801695600199114</v>
      </c>
      <c r="E57" s="333">
        <v>275000</v>
      </c>
      <c r="F57" s="361">
        <f t="shared" si="4"/>
        <v>2.698774091952332</v>
      </c>
      <c r="G57" s="384">
        <f t="shared" si="5"/>
        <v>100</v>
      </c>
      <c r="H57" s="60">
        <v>41901</v>
      </c>
    </row>
    <row r="58" spans="1:8" ht="14.25" thickBot="1">
      <c r="A58" s="79" t="s">
        <v>259</v>
      </c>
      <c r="B58" s="312"/>
      <c r="C58" s="315"/>
      <c r="D58" s="362">
        <f t="shared" si="3"/>
        <v>0</v>
      </c>
      <c r="E58" s="522"/>
      <c r="F58" s="362">
        <f t="shared" si="4"/>
        <v>0</v>
      </c>
      <c r="G58" s="421" t="e">
        <f t="shared" si="5"/>
        <v>#DIV/0!</v>
      </c>
      <c r="H58" s="60">
        <v>4191</v>
      </c>
    </row>
    <row r="59" spans="1:7" ht="13.5">
      <c r="A59" s="34"/>
      <c r="B59" s="35" t="s">
        <v>166</v>
      </c>
      <c r="C59" s="34"/>
      <c r="D59" s="34"/>
      <c r="E59" s="34"/>
      <c r="F59"/>
      <c r="G59" s="304" t="s">
        <v>184</v>
      </c>
    </row>
    <row r="60" spans="1:7" ht="13.5">
      <c r="A60" s="34"/>
      <c r="B60" s="37" t="s">
        <v>33</v>
      </c>
      <c r="C60" s="34" t="s">
        <v>218</v>
      </c>
      <c r="D60" s="34"/>
      <c r="E60" s="34"/>
      <c r="F60" s="45"/>
      <c r="G60" s="208"/>
    </row>
    <row r="61" spans="1:7" ht="13.5">
      <c r="A61" s="162"/>
      <c r="B61" s="37" t="s">
        <v>34</v>
      </c>
      <c r="C61" s="34" t="s">
        <v>219</v>
      </c>
      <c r="D61" s="34"/>
      <c r="E61" s="34"/>
      <c r="F61" s="45"/>
      <c r="G61" s="208"/>
    </row>
    <row r="62" spans="1:7" ht="18">
      <c r="A62" s="34"/>
      <c r="B62" s="38" t="s">
        <v>35</v>
      </c>
      <c r="C62" s="34" t="s">
        <v>220</v>
      </c>
      <c r="D62" s="34"/>
      <c r="E62" s="34"/>
      <c r="F62" s="51"/>
      <c r="G62" s="305"/>
    </row>
    <row r="63" spans="1:7" ht="13.5">
      <c r="A63" s="34"/>
      <c r="B63" s="34"/>
      <c r="C63" s="34" t="s">
        <v>378</v>
      </c>
      <c r="D63" s="34"/>
      <c r="E63" s="34"/>
      <c r="F63" s="48"/>
      <c r="G63" s="305"/>
    </row>
    <row r="64" spans="1:7" ht="12.75">
      <c r="A64" s="149"/>
      <c r="B64" s="124" t="s">
        <v>79</v>
      </c>
      <c r="C64" s="45"/>
      <c r="D64" s="45"/>
      <c r="E64" s="45"/>
      <c r="F64" s="48"/>
      <c r="G64" s="306"/>
    </row>
    <row r="65" spans="1:7" ht="12.75">
      <c r="A65" s="303"/>
      <c r="B65" s="307" t="s">
        <v>374</v>
      </c>
      <c r="C65" s="79"/>
      <c r="D65" s="79"/>
      <c r="E65" s="79"/>
      <c r="F65" s="306"/>
      <c r="G65" s="306"/>
    </row>
    <row r="66" spans="2:6" ht="12.75">
      <c r="B66" s="79"/>
      <c r="C66" s="79"/>
      <c r="D66" s="79"/>
      <c r="E66" s="79"/>
      <c r="F66" s="303"/>
    </row>
    <row r="67" spans="1:6" ht="12.75">
      <c r="A67" s="303"/>
      <c r="B67" s="302" t="s">
        <v>152</v>
      </c>
      <c r="C67" s="79"/>
      <c r="D67" s="79"/>
      <c r="E67" s="79"/>
      <c r="F67" s="303"/>
    </row>
    <row r="68" spans="1:6" ht="12.75">
      <c r="A68" s="303"/>
      <c r="B68" s="79"/>
      <c r="C68" s="79"/>
      <c r="D68" s="79"/>
      <c r="E68" s="79"/>
      <c r="F68" s="303"/>
    </row>
    <row r="69" spans="2:5" ht="11.25">
      <c r="B69" s="308" t="s">
        <v>190</v>
      </c>
      <c r="C69" s="79"/>
      <c r="D69" s="79"/>
      <c r="E69" s="79"/>
    </row>
    <row r="71" spans="1:7" ht="11.25">
      <c r="A71" s="122">
        <v>1</v>
      </c>
      <c r="B71" s="122">
        <v>2</v>
      </c>
      <c r="C71" s="122">
        <v>3</v>
      </c>
      <c r="D71" s="122">
        <v>4</v>
      </c>
      <c r="E71" s="122">
        <v>5</v>
      </c>
      <c r="F71" s="122">
        <v>6</v>
      </c>
      <c r="G71" s="122">
        <v>7</v>
      </c>
    </row>
    <row r="72" ht="12" thickBot="1">
      <c r="D72" s="122"/>
    </row>
    <row r="73" spans="1:7" ht="13.5">
      <c r="A73" s="302"/>
      <c r="B73" s="309" t="s">
        <v>7</v>
      </c>
      <c r="C73" s="310" t="s">
        <v>365</v>
      </c>
      <c r="D73" s="424" t="s">
        <v>28</v>
      </c>
      <c r="E73" s="644" t="s">
        <v>380</v>
      </c>
      <c r="F73" s="424" t="s">
        <v>28</v>
      </c>
      <c r="G73" s="393" t="s">
        <v>13</v>
      </c>
    </row>
    <row r="74" spans="3:7" ht="12" thickBot="1">
      <c r="C74" s="524" t="s">
        <v>16</v>
      </c>
      <c r="D74" s="446" t="s">
        <v>15</v>
      </c>
      <c r="E74" s="262" t="s">
        <v>16</v>
      </c>
      <c r="F74" s="446" t="s">
        <v>15</v>
      </c>
      <c r="G74" s="452" t="s">
        <v>40</v>
      </c>
    </row>
    <row r="75" spans="1:7" ht="11.25">
      <c r="A75" s="414" t="s">
        <v>260</v>
      </c>
      <c r="B75" s="79"/>
      <c r="C75" s="459">
        <v>20000</v>
      </c>
      <c r="D75" s="360">
        <f aca="true" t="shared" si="6" ref="D75:D91">$C75/$C$180*100</f>
        <v>0.2764869527417537</v>
      </c>
      <c r="E75" s="506">
        <v>20000</v>
      </c>
      <c r="F75" s="360">
        <f aca="true" t="shared" si="7" ref="F75:F91">$E75/$E$180*100</f>
        <v>0.19627447941471507</v>
      </c>
      <c r="G75" s="383">
        <f aca="true" t="shared" si="8" ref="G75:G91">E75/C75*100</f>
        <v>100</v>
      </c>
    </row>
    <row r="76" spans="1:7" ht="11.25">
      <c r="A76" s="414" t="s">
        <v>261</v>
      </c>
      <c r="B76" s="79"/>
      <c r="C76" s="437">
        <v>220000</v>
      </c>
      <c r="D76" s="361">
        <f t="shared" si="6"/>
        <v>3.041356480159291</v>
      </c>
      <c r="E76" s="457">
        <v>301241.28</v>
      </c>
      <c r="F76" s="361">
        <f t="shared" si="7"/>
        <v>2.956298770511121</v>
      </c>
      <c r="G76" s="384">
        <f t="shared" si="8"/>
        <v>136.92785454545455</v>
      </c>
    </row>
    <row r="77" spans="1:7" ht="11.25">
      <c r="A77" s="414" t="s">
        <v>385</v>
      </c>
      <c r="B77" s="79"/>
      <c r="C77" s="437">
        <v>17500</v>
      </c>
      <c r="D77" s="361">
        <f t="shared" si="6"/>
        <v>0.2419260836490345</v>
      </c>
      <c r="E77" s="457">
        <v>12500</v>
      </c>
      <c r="F77" s="361">
        <f t="shared" si="7"/>
        <v>0.12267154963419691</v>
      </c>
      <c r="G77" s="384">
        <f t="shared" si="8"/>
        <v>71.42857142857143</v>
      </c>
    </row>
    <row r="78" spans="1:7" ht="11.25">
      <c r="A78" s="414" t="s">
        <v>386</v>
      </c>
      <c r="B78" s="79"/>
      <c r="C78" s="437">
        <v>7500</v>
      </c>
      <c r="D78" s="361">
        <f t="shared" si="6"/>
        <v>0.10368260727815766</v>
      </c>
      <c r="E78" s="457">
        <v>12500</v>
      </c>
      <c r="F78" s="361">
        <f t="shared" si="7"/>
        <v>0.12267154963419691</v>
      </c>
      <c r="G78" s="384">
        <f t="shared" si="8"/>
        <v>166.66666666666669</v>
      </c>
    </row>
    <row r="79" spans="1:7" ht="11.25">
      <c r="A79" s="414" t="s">
        <v>262</v>
      </c>
      <c r="B79" s="79"/>
      <c r="C79" s="437">
        <v>9000</v>
      </c>
      <c r="D79" s="361">
        <f t="shared" si="6"/>
        <v>0.1244191287337892</v>
      </c>
      <c r="E79" s="457">
        <v>9000</v>
      </c>
      <c r="F79" s="361">
        <f t="shared" si="7"/>
        <v>0.08832351573662177</v>
      </c>
      <c r="G79" s="384">
        <f t="shared" si="8"/>
        <v>100</v>
      </c>
    </row>
    <row r="80" spans="1:7" ht="11.25">
      <c r="A80" s="414" t="s">
        <v>263</v>
      </c>
      <c r="B80" s="79"/>
      <c r="C80" s="437">
        <v>70000</v>
      </c>
      <c r="D80" s="361">
        <f t="shared" si="6"/>
        <v>0.967704334596138</v>
      </c>
      <c r="E80" s="457">
        <v>70000</v>
      </c>
      <c r="F80" s="361">
        <f t="shared" si="7"/>
        <v>0.6869606779515026</v>
      </c>
      <c r="G80" s="384">
        <f t="shared" si="8"/>
        <v>100</v>
      </c>
    </row>
    <row r="81" spans="1:7" ht="11.25">
      <c r="A81" s="414" t="s">
        <v>264</v>
      </c>
      <c r="B81" s="79"/>
      <c r="C81" s="437">
        <v>80000</v>
      </c>
      <c r="D81" s="361">
        <f t="shared" si="6"/>
        <v>1.1059478109670149</v>
      </c>
      <c r="E81" s="457">
        <v>80000</v>
      </c>
      <c r="F81" s="361">
        <f t="shared" si="7"/>
        <v>0.7850979176588603</v>
      </c>
      <c r="G81" s="384">
        <f t="shared" si="8"/>
        <v>100</v>
      </c>
    </row>
    <row r="82" spans="1:7" ht="11.25">
      <c r="A82" s="414" t="s">
        <v>265</v>
      </c>
      <c r="B82" s="79"/>
      <c r="C82" s="437">
        <v>90000</v>
      </c>
      <c r="D82" s="361">
        <f t="shared" si="6"/>
        <v>1.244191287337892</v>
      </c>
      <c r="E82" s="457">
        <f>90000+199000</f>
        <v>289000</v>
      </c>
      <c r="F82" s="361">
        <f t="shared" si="7"/>
        <v>2.8361662275426327</v>
      </c>
      <c r="G82" s="384">
        <f t="shared" si="8"/>
        <v>321.11111111111114</v>
      </c>
    </row>
    <row r="83" spans="1:7" ht="11.25">
      <c r="A83" s="414" t="s">
        <v>266</v>
      </c>
      <c r="B83" s="79"/>
      <c r="C83" s="437"/>
      <c r="D83" s="361">
        <f t="shared" si="6"/>
        <v>0</v>
      </c>
      <c r="E83" s="457"/>
      <c r="F83" s="361">
        <f t="shared" si="7"/>
        <v>0</v>
      </c>
      <c r="G83" s="384" t="e">
        <f t="shared" si="8"/>
        <v>#DIV/0!</v>
      </c>
    </row>
    <row r="84" spans="1:7" ht="11.25">
      <c r="A84" s="414" t="s">
        <v>267</v>
      </c>
      <c r="B84" s="79"/>
      <c r="C84" s="437">
        <v>15000</v>
      </c>
      <c r="D84" s="361">
        <f t="shared" si="6"/>
        <v>0.20736521455631532</v>
      </c>
      <c r="E84" s="457">
        <v>15000</v>
      </c>
      <c r="F84" s="361">
        <f t="shared" si="7"/>
        <v>0.1472058595610363</v>
      </c>
      <c r="G84" s="384">
        <f t="shared" si="8"/>
        <v>100</v>
      </c>
    </row>
    <row r="85" spans="1:7" ht="11.25">
      <c r="A85" s="414" t="s">
        <v>268</v>
      </c>
      <c r="B85" s="79"/>
      <c r="C85" s="437">
        <v>60000</v>
      </c>
      <c r="D85" s="361">
        <f t="shared" si="6"/>
        <v>0.8294608582252613</v>
      </c>
      <c r="E85" s="457">
        <v>70000</v>
      </c>
      <c r="F85" s="361">
        <f t="shared" si="7"/>
        <v>0.6869606779515026</v>
      </c>
      <c r="G85" s="384">
        <f t="shared" si="8"/>
        <v>116.66666666666667</v>
      </c>
    </row>
    <row r="86" spans="1:7" ht="11.25">
      <c r="A86" s="414" t="s">
        <v>269</v>
      </c>
      <c r="B86" s="312"/>
      <c r="C86" s="314"/>
      <c r="D86" s="361">
        <f t="shared" si="6"/>
        <v>0</v>
      </c>
      <c r="E86" s="333"/>
      <c r="F86" s="361">
        <f t="shared" si="7"/>
        <v>0</v>
      </c>
      <c r="G86" s="384" t="e">
        <f t="shared" si="8"/>
        <v>#DIV/0!</v>
      </c>
    </row>
    <row r="87" spans="1:7" ht="11.25">
      <c r="A87" s="414" t="s">
        <v>270</v>
      </c>
      <c r="B87" s="312"/>
      <c r="C87" s="314"/>
      <c r="D87" s="361">
        <f t="shared" si="6"/>
        <v>0</v>
      </c>
      <c r="E87" s="333"/>
      <c r="F87" s="361">
        <f t="shared" si="7"/>
        <v>0</v>
      </c>
      <c r="G87" s="384" t="e">
        <f t="shared" si="8"/>
        <v>#DIV/0!</v>
      </c>
    </row>
    <row r="88" spans="1:7" ht="11.25">
      <c r="A88" s="414" t="s">
        <v>271</v>
      </c>
      <c r="B88" s="312"/>
      <c r="C88" s="319"/>
      <c r="D88" s="361">
        <f t="shared" si="6"/>
        <v>0</v>
      </c>
      <c r="E88" s="329"/>
      <c r="F88" s="361">
        <f t="shared" si="7"/>
        <v>0</v>
      </c>
      <c r="G88" s="384" t="e">
        <f t="shared" si="8"/>
        <v>#DIV/0!</v>
      </c>
    </row>
    <row r="89" spans="1:7" ht="11.25">
      <c r="A89" s="414" t="s">
        <v>272</v>
      </c>
      <c r="B89" s="312"/>
      <c r="C89" s="319">
        <v>309600</v>
      </c>
      <c r="D89" s="361">
        <f t="shared" si="6"/>
        <v>4.280018028442348</v>
      </c>
      <c r="E89" s="329">
        <v>100000</v>
      </c>
      <c r="F89" s="361">
        <f t="shared" si="7"/>
        <v>0.9813723970735753</v>
      </c>
      <c r="G89" s="384">
        <f t="shared" si="8"/>
        <v>32.299741602067186</v>
      </c>
    </row>
    <row r="90" spans="3:7" ht="12" thickBot="1">
      <c r="C90" s="576"/>
      <c r="D90" s="362">
        <f t="shared" si="6"/>
        <v>0</v>
      </c>
      <c r="E90" s="507"/>
      <c r="F90" s="362">
        <f t="shared" si="7"/>
        <v>0</v>
      </c>
      <c r="G90" s="421" t="e">
        <f t="shared" si="8"/>
        <v>#DIV/0!</v>
      </c>
    </row>
    <row r="91" spans="1:7" ht="12" thickBot="1">
      <c r="A91" s="302">
        <v>41</v>
      </c>
      <c r="B91" s="316" t="s">
        <v>74</v>
      </c>
      <c r="C91" s="317">
        <f>+SUM(C40:C58,C75:C89)</f>
        <v>2384100</v>
      </c>
      <c r="D91" s="363">
        <f t="shared" si="6"/>
        <v>32.958627201580754</v>
      </c>
      <c r="E91" s="438">
        <f>+SUM(E40:E58,E75:E89)</f>
        <v>2163741.2800000003</v>
      </c>
      <c r="F91" s="363">
        <f t="shared" si="7"/>
        <v>21.234359666006462</v>
      </c>
      <c r="G91" s="385">
        <f t="shared" si="8"/>
        <v>90.75715280399314</v>
      </c>
    </row>
    <row r="92" spans="3:7" ht="12" thickBot="1">
      <c r="C92" s="182"/>
      <c r="D92" s="187"/>
      <c r="E92" s="182"/>
      <c r="F92" s="187"/>
      <c r="G92" s="313"/>
    </row>
    <row r="93" spans="1:9" ht="12" thickBot="1">
      <c r="A93" s="302">
        <v>42</v>
      </c>
      <c r="B93" s="316" t="s">
        <v>19</v>
      </c>
      <c r="C93" s="500">
        <f>SUM(C94:C104)</f>
        <v>1714224.3900000001</v>
      </c>
      <c r="D93" s="546">
        <f aca="true" t="shared" si="9" ref="D93:D104">$C93/$C$180*100</f>
        <v>23.698033895334582</v>
      </c>
      <c r="E93" s="645">
        <f>SUM(E94:E104)</f>
        <v>2142780.4875000003</v>
      </c>
      <c r="F93" s="546">
        <f aca="true" t="shared" si="10" ref="F93:F104">$E93/$E$180*100</f>
        <v>21.028656234203595</v>
      </c>
      <c r="G93" s="417" t="e">
        <f>SUM(G94:G104)</f>
        <v>#DIV/0!</v>
      </c>
      <c r="I93" s="169">
        <f>E93-C93</f>
        <v>428556.09750000015</v>
      </c>
    </row>
    <row r="94" spans="1:9" ht="11.25">
      <c r="A94" s="414" t="s">
        <v>273</v>
      </c>
      <c r="B94" s="316"/>
      <c r="C94" s="326">
        <v>1159112.81</v>
      </c>
      <c r="D94" s="562">
        <f t="shared" si="9"/>
        <v>16.02397843604157</v>
      </c>
      <c r="E94" s="559">
        <f>C94*1.25</f>
        <v>1448891.0125000002</v>
      </c>
      <c r="F94" s="564">
        <f t="shared" si="10"/>
        <v>14.219016460354847</v>
      </c>
      <c r="G94" s="386">
        <f aca="true" t="shared" si="11" ref="G94:G104">E94/C94*100</f>
        <v>125</v>
      </c>
      <c r="I94" s="161" t="s">
        <v>389</v>
      </c>
    </row>
    <row r="95" spans="1:7" ht="11.25">
      <c r="A95" s="414" t="s">
        <v>274</v>
      </c>
      <c r="B95" s="316"/>
      <c r="C95" s="327">
        <v>72767.31</v>
      </c>
      <c r="D95" s="560">
        <f t="shared" si="9"/>
        <v>1.0059605900557271</v>
      </c>
      <c r="E95" s="287">
        <f>C95*1.25</f>
        <v>90959.1375</v>
      </c>
      <c r="F95" s="561">
        <f t="shared" si="10"/>
        <v>0.8926478680411992</v>
      </c>
      <c r="G95" s="387">
        <f t="shared" si="11"/>
        <v>125</v>
      </c>
    </row>
    <row r="96" spans="1:7" ht="11.25">
      <c r="A96" s="414" t="s">
        <v>275</v>
      </c>
      <c r="B96" s="316"/>
      <c r="C96" s="327"/>
      <c r="D96" s="560">
        <f t="shared" si="9"/>
        <v>0</v>
      </c>
      <c r="E96" s="287"/>
      <c r="F96" s="561">
        <f t="shared" si="10"/>
        <v>0</v>
      </c>
      <c r="G96" s="387" t="e">
        <f t="shared" si="11"/>
        <v>#DIV/0!</v>
      </c>
    </row>
    <row r="97" spans="1:7" ht="11.25">
      <c r="A97" s="414" t="s">
        <v>276</v>
      </c>
      <c r="B97" s="316"/>
      <c r="C97" s="327">
        <v>259563.57</v>
      </c>
      <c r="D97" s="560">
        <f t="shared" si="9"/>
        <v>3.5882970256035445</v>
      </c>
      <c r="E97" s="287">
        <f>C97*1.25</f>
        <v>324454.4625</v>
      </c>
      <c r="F97" s="561">
        <f t="shared" si="10"/>
        <v>3.1841065360484344</v>
      </c>
      <c r="G97" s="387">
        <f t="shared" si="11"/>
        <v>125</v>
      </c>
    </row>
    <row r="98" spans="1:7" ht="11.25">
      <c r="A98" s="414" t="s">
        <v>277</v>
      </c>
      <c r="B98" s="316"/>
      <c r="C98" s="327"/>
      <c r="D98" s="560">
        <f t="shared" si="9"/>
        <v>0</v>
      </c>
      <c r="E98" s="287"/>
      <c r="F98" s="561">
        <f t="shared" si="10"/>
        <v>0</v>
      </c>
      <c r="G98" s="387" t="e">
        <f t="shared" si="11"/>
        <v>#DIV/0!</v>
      </c>
    </row>
    <row r="99" spans="1:7" ht="11.25">
      <c r="A99" s="415" t="s">
        <v>278</v>
      </c>
      <c r="B99" s="192"/>
      <c r="C99" s="327"/>
      <c r="D99" s="560">
        <f t="shared" si="9"/>
        <v>0</v>
      </c>
      <c r="E99" s="287"/>
      <c r="F99" s="561">
        <f t="shared" si="10"/>
        <v>0</v>
      </c>
      <c r="G99" s="387" t="e">
        <f t="shared" si="11"/>
        <v>#DIV/0!</v>
      </c>
    </row>
    <row r="100" spans="1:7" ht="11.25">
      <c r="A100" s="414" t="s">
        <v>279</v>
      </c>
      <c r="B100" s="192"/>
      <c r="C100" s="327"/>
      <c r="D100" s="560">
        <f t="shared" si="9"/>
        <v>0</v>
      </c>
      <c r="E100" s="287"/>
      <c r="F100" s="561">
        <f t="shared" si="10"/>
        <v>0</v>
      </c>
      <c r="G100" s="387" t="e">
        <f t="shared" si="11"/>
        <v>#DIV/0!</v>
      </c>
    </row>
    <row r="101" spans="1:7" ht="11.25">
      <c r="A101" s="414" t="s">
        <v>280</v>
      </c>
      <c r="B101" s="192"/>
      <c r="C101" s="327"/>
      <c r="D101" s="560">
        <f t="shared" si="9"/>
        <v>0</v>
      </c>
      <c r="E101" s="287"/>
      <c r="F101" s="561">
        <f t="shared" si="10"/>
        <v>0</v>
      </c>
      <c r="G101" s="387" t="e">
        <f t="shared" si="11"/>
        <v>#DIV/0!</v>
      </c>
    </row>
    <row r="102" spans="1:7" ht="11.25">
      <c r="A102" s="414" t="s">
        <v>281</v>
      </c>
      <c r="B102" s="192"/>
      <c r="C102" s="327">
        <v>222780.7</v>
      </c>
      <c r="D102" s="560">
        <f t="shared" si="9"/>
        <v>3.079797843633741</v>
      </c>
      <c r="E102" s="287">
        <f>C102*1.25</f>
        <v>278475.875</v>
      </c>
      <c r="F102" s="561">
        <f t="shared" si="10"/>
        <v>2.732885369759113</v>
      </c>
      <c r="G102" s="387">
        <f t="shared" si="11"/>
        <v>125</v>
      </c>
    </row>
    <row r="103" spans="1:7" ht="11.25">
      <c r="A103" s="414" t="s">
        <v>282</v>
      </c>
      <c r="B103" s="192"/>
      <c r="C103" s="327"/>
      <c r="D103" s="560">
        <f t="shared" si="9"/>
        <v>0</v>
      </c>
      <c r="E103" s="287"/>
      <c r="F103" s="561">
        <f t="shared" si="10"/>
        <v>0</v>
      </c>
      <c r="G103" s="387" t="e">
        <f t="shared" si="11"/>
        <v>#DIV/0!</v>
      </c>
    </row>
    <row r="104" spans="1:7" ht="12" thickBot="1">
      <c r="A104" s="414" t="s">
        <v>283</v>
      </c>
      <c r="B104" s="192"/>
      <c r="C104" s="418"/>
      <c r="D104" s="563">
        <f t="shared" si="9"/>
        <v>0</v>
      </c>
      <c r="E104" s="322"/>
      <c r="F104" s="565">
        <f t="shared" si="10"/>
        <v>0</v>
      </c>
      <c r="G104" s="388" t="e">
        <f t="shared" si="11"/>
        <v>#DIV/0!</v>
      </c>
    </row>
    <row r="105" spans="1:7" ht="12" thickBot="1">
      <c r="A105" s="79"/>
      <c r="B105" s="192"/>
      <c r="C105" s="323"/>
      <c r="D105" s="187"/>
      <c r="E105" s="323"/>
      <c r="F105" s="187"/>
      <c r="G105" s="313"/>
    </row>
    <row r="106" spans="1:9" ht="12" thickBot="1">
      <c r="A106" s="302">
        <v>43</v>
      </c>
      <c r="B106" s="316" t="s">
        <v>20</v>
      </c>
      <c r="C106" s="317">
        <v>700000</v>
      </c>
      <c r="D106" s="525">
        <f>$C106/$C$180*100</f>
        <v>9.677043345961382</v>
      </c>
      <c r="E106" s="317">
        <v>750000</v>
      </c>
      <c r="F106" s="525">
        <f>$E106/$E$180*100</f>
        <v>7.360292978051815</v>
      </c>
      <c r="G106" s="389">
        <f>E106/C106*100</f>
        <v>107.14285714285714</v>
      </c>
      <c r="I106" s="161" t="s">
        <v>390</v>
      </c>
    </row>
    <row r="107" spans="1:7" ht="12" thickBot="1">
      <c r="A107" s="302"/>
      <c r="B107" s="302"/>
      <c r="C107" s="181"/>
      <c r="D107" s="187"/>
      <c r="E107" s="181"/>
      <c r="F107" s="187"/>
      <c r="G107" s="313"/>
    </row>
    <row r="108" spans="1:7" ht="12" thickBot="1">
      <c r="A108" s="302">
        <v>4450</v>
      </c>
      <c r="B108" s="302" t="s">
        <v>77</v>
      </c>
      <c r="C108" s="317">
        <v>100000</v>
      </c>
      <c r="D108" s="525">
        <f>$C108/$C$180*100</f>
        <v>1.3824347637087686</v>
      </c>
      <c r="E108" s="317">
        <v>100000</v>
      </c>
      <c r="F108" s="525">
        <f>$E108/$E$180*100</f>
        <v>0.9813723970735753</v>
      </c>
      <c r="G108" s="389">
        <f>E108/C108*100</f>
        <v>100</v>
      </c>
    </row>
    <row r="109" spans="1:7" ht="12" thickBot="1">
      <c r="A109" s="79"/>
      <c r="B109" s="79"/>
      <c r="C109" s="416"/>
      <c r="D109" s="416"/>
      <c r="E109" s="416"/>
      <c r="F109" s="416"/>
      <c r="G109" s="416"/>
    </row>
    <row r="110" spans="1:7" ht="11.25">
      <c r="A110" s="414" t="s">
        <v>284</v>
      </c>
      <c r="B110" s="79"/>
      <c r="C110" s="559">
        <v>5000</v>
      </c>
      <c r="D110" s="360">
        <f aca="true" t="shared" si="12" ref="D110:D123">$C110/$C$180*100</f>
        <v>0.06912173818543843</v>
      </c>
      <c r="E110" s="447">
        <v>5000</v>
      </c>
      <c r="F110" s="360">
        <f aca="true" t="shared" si="13" ref="F110:F123">$E110/$E$180*100</f>
        <v>0.04906861985367877</v>
      </c>
      <c r="G110" s="383">
        <f aca="true" t="shared" si="14" ref="G110:G123">E110/C110*100</f>
        <v>100</v>
      </c>
    </row>
    <row r="111" spans="1:7" ht="11.25">
      <c r="A111" s="414" t="s">
        <v>285</v>
      </c>
      <c r="B111" s="79"/>
      <c r="C111" s="287">
        <v>1000</v>
      </c>
      <c r="D111" s="361">
        <f t="shared" si="12"/>
        <v>0.013824347637087687</v>
      </c>
      <c r="E111" s="180">
        <v>1000</v>
      </c>
      <c r="F111" s="361">
        <f t="shared" si="13"/>
        <v>0.009813723970735754</v>
      </c>
      <c r="G111" s="384">
        <f t="shared" si="14"/>
        <v>100</v>
      </c>
    </row>
    <row r="112" spans="1:7" ht="11.25">
      <c r="A112" s="414" t="s">
        <v>286</v>
      </c>
      <c r="B112" s="323"/>
      <c r="C112" s="287">
        <v>1000</v>
      </c>
      <c r="D112" s="361">
        <f t="shared" si="12"/>
        <v>0.013824347637087687</v>
      </c>
      <c r="E112" s="180">
        <v>1000</v>
      </c>
      <c r="F112" s="361">
        <f t="shared" si="13"/>
        <v>0.009813723970735754</v>
      </c>
      <c r="G112" s="384">
        <f t="shared" si="14"/>
        <v>100</v>
      </c>
    </row>
    <row r="113" spans="1:7" ht="11.25">
      <c r="A113" s="414" t="s">
        <v>287</v>
      </c>
      <c r="B113" s="79"/>
      <c r="C113" s="287">
        <v>108000</v>
      </c>
      <c r="D113" s="361">
        <f t="shared" si="12"/>
        <v>1.4930295448054702</v>
      </c>
      <c r="E113" s="180">
        <v>108000</v>
      </c>
      <c r="F113" s="361">
        <f t="shared" si="13"/>
        <v>1.0598821888394612</v>
      </c>
      <c r="G113" s="384">
        <f t="shared" si="14"/>
        <v>100</v>
      </c>
    </row>
    <row r="114" spans="1:7" s="182" customFormat="1" ht="11.25">
      <c r="A114" s="441">
        <v>461400</v>
      </c>
      <c r="B114" s="323" t="s">
        <v>97</v>
      </c>
      <c r="C114" s="287">
        <v>170000</v>
      </c>
      <c r="D114" s="361">
        <f t="shared" si="12"/>
        <v>2.350139098304907</v>
      </c>
      <c r="E114" s="180">
        <v>150000</v>
      </c>
      <c r="F114" s="361">
        <f t="shared" si="13"/>
        <v>1.472058595610363</v>
      </c>
      <c r="G114" s="384">
        <f t="shared" si="14"/>
        <v>88.23529411764706</v>
      </c>
    </row>
    <row r="115" spans="1:7" s="182" customFormat="1" ht="11.25">
      <c r="A115" s="441">
        <v>461500</v>
      </c>
      <c r="B115" s="323" t="s">
        <v>21</v>
      </c>
      <c r="C115" s="287">
        <v>3000</v>
      </c>
      <c r="D115" s="361">
        <f t="shared" si="12"/>
        <v>0.04147304291126306</v>
      </c>
      <c r="E115" s="180">
        <v>3000</v>
      </c>
      <c r="F115" s="361">
        <f t="shared" si="13"/>
        <v>0.02944117191220726</v>
      </c>
      <c r="G115" s="384">
        <f t="shared" si="14"/>
        <v>100</v>
      </c>
    </row>
    <row r="116" spans="1:7" ht="11.25">
      <c r="A116" s="414" t="s">
        <v>288</v>
      </c>
      <c r="B116" s="79"/>
      <c r="C116" s="287">
        <v>5000</v>
      </c>
      <c r="D116" s="361">
        <f t="shared" si="12"/>
        <v>0.06912173818543843</v>
      </c>
      <c r="E116" s="180">
        <v>5000</v>
      </c>
      <c r="F116" s="361">
        <f t="shared" si="13"/>
        <v>0.04906861985367877</v>
      </c>
      <c r="G116" s="384">
        <f t="shared" si="14"/>
        <v>100</v>
      </c>
    </row>
    <row r="117" spans="1:7" ht="11.25">
      <c r="A117" s="414" t="s">
        <v>289</v>
      </c>
      <c r="B117" s="79"/>
      <c r="C117" s="287">
        <v>4500</v>
      </c>
      <c r="D117" s="361">
        <f t="shared" si="12"/>
        <v>0.0622095643668946</v>
      </c>
      <c r="E117" s="180">
        <v>4500</v>
      </c>
      <c r="F117" s="361">
        <f t="shared" si="13"/>
        <v>0.044161757868310884</v>
      </c>
      <c r="G117" s="384">
        <f t="shared" si="14"/>
        <v>100</v>
      </c>
    </row>
    <row r="118" spans="1:7" s="182" customFormat="1" ht="11.25">
      <c r="A118" s="443" t="s">
        <v>318</v>
      </c>
      <c r="B118" s="323"/>
      <c r="C118" s="287">
        <v>83520</v>
      </c>
      <c r="D118" s="361">
        <f t="shared" si="12"/>
        <v>1.1546095146495636</v>
      </c>
      <c r="E118" s="180">
        <v>83520</v>
      </c>
      <c r="F118" s="361">
        <f t="shared" si="13"/>
        <v>0.81964222603585</v>
      </c>
      <c r="G118" s="384">
        <f t="shared" si="14"/>
        <v>100</v>
      </c>
    </row>
    <row r="119" spans="1:7" ht="11.25">
      <c r="A119" s="414" t="s">
        <v>290</v>
      </c>
      <c r="B119" s="79"/>
      <c r="C119" s="287">
        <v>0</v>
      </c>
      <c r="D119" s="361">
        <f t="shared" si="12"/>
        <v>0</v>
      </c>
      <c r="E119" s="180">
        <v>0</v>
      </c>
      <c r="F119" s="361">
        <f t="shared" si="13"/>
        <v>0</v>
      </c>
      <c r="G119" s="384" t="e">
        <f t="shared" si="14"/>
        <v>#DIV/0!</v>
      </c>
    </row>
    <row r="120" spans="1:7" ht="11.25">
      <c r="A120" s="414" t="s">
        <v>291</v>
      </c>
      <c r="B120" s="79"/>
      <c r="C120" s="287">
        <v>41790</v>
      </c>
      <c r="D120" s="361">
        <f t="shared" si="12"/>
        <v>0.5777194877538945</v>
      </c>
      <c r="E120" s="180">
        <v>41790</v>
      </c>
      <c r="F120" s="361">
        <f t="shared" si="13"/>
        <v>0.4101155247370471</v>
      </c>
      <c r="G120" s="384">
        <f t="shared" si="14"/>
        <v>100</v>
      </c>
    </row>
    <row r="121" spans="1:7" ht="11.25">
      <c r="A121" s="414" t="s">
        <v>292</v>
      </c>
      <c r="B121" s="79"/>
      <c r="C121" s="287">
        <v>40000</v>
      </c>
      <c r="D121" s="361">
        <f t="shared" si="12"/>
        <v>0.5529739054835074</v>
      </c>
      <c r="E121" s="180">
        <v>40000</v>
      </c>
      <c r="F121" s="361">
        <f t="shared" si="13"/>
        <v>0.39254895882943014</v>
      </c>
      <c r="G121" s="384">
        <f t="shared" si="14"/>
        <v>100</v>
      </c>
    </row>
    <row r="122" spans="1:7" ht="11.25">
      <c r="A122" s="414" t="s">
        <v>293</v>
      </c>
      <c r="B122" s="79"/>
      <c r="C122" s="287">
        <v>90000</v>
      </c>
      <c r="D122" s="361">
        <f t="shared" si="12"/>
        <v>1.244191287337892</v>
      </c>
      <c r="E122" s="180">
        <v>90000</v>
      </c>
      <c r="F122" s="361">
        <f t="shared" si="13"/>
        <v>0.8832351573662177</v>
      </c>
      <c r="G122" s="384">
        <f t="shared" si="14"/>
        <v>100</v>
      </c>
    </row>
    <row r="123" spans="1:7" ht="12" thickBot="1">
      <c r="A123" s="414" t="s">
        <v>423</v>
      </c>
      <c r="B123" s="79" t="s">
        <v>422</v>
      </c>
      <c r="C123" s="322">
        <v>23000</v>
      </c>
      <c r="D123" s="362">
        <f t="shared" si="12"/>
        <v>0.3179599956530168</v>
      </c>
      <c r="E123" s="448">
        <v>23000</v>
      </c>
      <c r="F123" s="362">
        <f t="shared" si="13"/>
        <v>0.22571565132692234</v>
      </c>
      <c r="G123" s="421">
        <f t="shared" si="14"/>
        <v>100</v>
      </c>
    </row>
    <row r="124" spans="1:7" ht="13.5">
      <c r="A124" s="34"/>
      <c r="B124" s="35" t="s">
        <v>166</v>
      </c>
      <c r="C124" s="34"/>
      <c r="D124" s="34"/>
      <c r="E124" s="34"/>
      <c r="F124"/>
      <c r="G124" s="304" t="s">
        <v>185</v>
      </c>
    </row>
    <row r="125" spans="1:6" ht="13.5">
      <c r="A125" s="34"/>
      <c r="B125" s="37" t="s">
        <v>33</v>
      </c>
      <c r="C125" s="34" t="s">
        <v>218</v>
      </c>
      <c r="D125" s="34"/>
      <c r="E125" s="34"/>
      <c r="F125" s="45"/>
    </row>
    <row r="126" spans="1:6" ht="13.5">
      <c r="A126" s="162"/>
      <c r="B126" s="37" t="s">
        <v>34</v>
      </c>
      <c r="C126" s="34" t="s">
        <v>219</v>
      </c>
      <c r="D126" s="34"/>
      <c r="E126" s="34"/>
      <c r="F126" s="45"/>
    </row>
    <row r="127" spans="1:6" ht="18">
      <c r="A127" s="34"/>
      <c r="B127" s="38" t="s">
        <v>35</v>
      </c>
      <c r="C127" s="34" t="s">
        <v>220</v>
      </c>
      <c r="D127" s="34"/>
      <c r="E127" s="34"/>
      <c r="F127" s="51"/>
    </row>
    <row r="128" spans="1:6" ht="13.5">
      <c r="A128" s="34"/>
      <c r="B128" s="34"/>
      <c r="C128" s="34" t="s">
        <v>378</v>
      </c>
      <c r="D128" s="34"/>
      <c r="E128" s="34"/>
      <c r="F128" s="48"/>
    </row>
    <row r="129" spans="1:7" ht="12.75">
      <c r="A129" s="303"/>
      <c r="B129" s="124"/>
      <c r="C129" s="303"/>
      <c r="D129" s="303"/>
      <c r="E129" s="303"/>
      <c r="F129" s="306"/>
      <c r="G129" s="306"/>
    </row>
    <row r="130" spans="1:7" ht="12.75">
      <c r="A130" s="303"/>
      <c r="B130" s="307" t="s">
        <v>374</v>
      </c>
      <c r="C130" s="79"/>
      <c r="D130" s="79"/>
      <c r="E130" s="79"/>
      <c r="F130" s="306"/>
      <c r="G130" s="306"/>
    </row>
    <row r="131" spans="2:6" ht="12.75">
      <c r="B131" s="79"/>
      <c r="C131" s="79"/>
      <c r="D131" s="79"/>
      <c r="E131" s="79"/>
      <c r="F131" s="303"/>
    </row>
    <row r="132" spans="1:6" ht="12.75">
      <c r="A132" s="303"/>
      <c r="B132" s="302" t="s">
        <v>151</v>
      </c>
      <c r="C132" s="79"/>
      <c r="D132" s="79"/>
      <c r="E132" s="79"/>
      <c r="F132" s="303"/>
    </row>
    <row r="133" spans="1:6" ht="12.75">
      <c r="A133" s="303"/>
      <c r="B133" s="79"/>
      <c r="C133" s="79"/>
      <c r="D133" s="79"/>
      <c r="E133" s="79"/>
      <c r="F133" s="303"/>
    </row>
    <row r="134" spans="2:5" ht="11.25">
      <c r="B134" s="308" t="s">
        <v>190</v>
      </c>
      <c r="C134" s="79"/>
      <c r="D134" s="79"/>
      <c r="E134" s="79"/>
    </row>
    <row r="135" spans="1:7" ht="11.25">
      <c r="A135" s="122">
        <v>1</v>
      </c>
      <c r="B135" s="122">
        <v>2</v>
      </c>
      <c r="C135" s="122">
        <v>3</v>
      </c>
      <c r="D135" s="122">
        <v>4</v>
      </c>
      <c r="E135" s="122">
        <v>5</v>
      </c>
      <c r="F135" s="122">
        <v>6</v>
      </c>
      <c r="G135" s="122">
        <v>7</v>
      </c>
    </row>
    <row r="136" ht="12" thickBot="1">
      <c r="D136" s="122"/>
    </row>
    <row r="137" spans="1:7" ht="11.25">
      <c r="A137" s="302"/>
      <c r="B137" s="309" t="s">
        <v>7</v>
      </c>
      <c r="C137" s="445" t="s">
        <v>365</v>
      </c>
      <c r="D137" s="424" t="s">
        <v>28</v>
      </c>
      <c r="E137" s="423" t="s">
        <v>380</v>
      </c>
      <c r="F137" s="450" t="s">
        <v>28</v>
      </c>
      <c r="G137" s="451" t="s">
        <v>13</v>
      </c>
    </row>
    <row r="138" spans="1:7" ht="12" thickBot="1">
      <c r="A138" s="79"/>
      <c r="B138" s="79"/>
      <c r="C138" s="526" t="s">
        <v>16</v>
      </c>
      <c r="D138" s="425" t="s">
        <v>15</v>
      </c>
      <c r="E138" s="527" t="s">
        <v>16</v>
      </c>
      <c r="F138" s="528" t="s">
        <v>15</v>
      </c>
      <c r="G138" s="426" t="s">
        <v>40</v>
      </c>
    </row>
    <row r="139" spans="1:7" ht="11.25">
      <c r="A139" s="414"/>
      <c r="B139" s="79"/>
      <c r="C139" s="559"/>
      <c r="D139" s="360"/>
      <c r="E139" s="180"/>
      <c r="F139" s="360"/>
      <c r="G139" s="386"/>
    </row>
    <row r="140" spans="1:7" ht="11.25">
      <c r="A140" s="414" t="s">
        <v>294</v>
      </c>
      <c r="B140" s="79"/>
      <c r="C140" s="287">
        <v>10000</v>
      </c>
      <c r="D140" s="361">
        <f aca="true" t="shared" si="15" ref="D140:D156">$C140/$C$180*100</f>
        <v>0.13824347637087686</v>
      </c>
      <c r="E140" s="180">
        <v>10000</v>
      </c>
      <c r="F140" s="361">
        <f aca="true" t="shared" si="16" ref="F140:F156">$E140/$E$180*100</f>
        <v>0.09813723970735753</v>
      </c>
      <c r="G140" s="387">
        <f aca="true" t="shared" si="17" ref="G140:G156">E140/C140*100</f>
        <v>100</v>
      </c>
    </row>
    <row r="141" spans="1:7" ht="11.25">
      <c r="A141" s="414" t="s">
        <v>295</v>
      </c>
      <c r="B141" s="79"/>
      <c r="C141" s="287">
        <v>15000</v>
      </c>
      <c r="D141" s="361">
        <f t="shared" si="15"/>
        <v>0.20736521455631532</v>
      </c>
      <c r="E141" s="180">
        <v>15000</v>
      </c>
      <c r="F141" s="361">
        <f t="shared" si="16"/>
        <v>0.1472058595610363</v>
      </c>
      <c r="G141" s="387">
        <f t="shared" si="17"/>
        <v>100</v>
      </c>
    </row>
    <row r="142" spans="1:7" ht="11.25">
      <c r="A142" s="439" t="s">
        <v>319</v>
      </c>
      <c r="B142" s="79"/>
      <c r="C142" s="287">
        <v>7000</v>
      </c>
      <c r="D142" s="361">
        <f t="shared" si="15"/>
        <v>0.09677043345961381</v>
      </c>
      <c r="E142" s="180">
        <v>7000</v>
      </c>
      <c r="F142" s="361">
        <f t="shared" si="16"/>
        <v>0.06869606779515026</v>
      </c>
      <c r="G142" s="387">
        <f t="shared" si="17"/>
        <v>100</v>
      </c>
    </row>
    <row r="143" spans="1:7" ht="11.25">
      <c r="A143" s="439" t="s">
        <v>321</v>
      </c>
      <c r="B143" s="79"/>
      <c r="C143" s="287"/>
      <c r="D143" s="361">
        <f t="shared" si="15"/>
        <v>0</v>
      </c>
      <c r="E143" s="180"/>
      <c r="F143" s="361">
        <f t="shared" si="16"/>
        <v>0</v>
      </c>
      <c r="G143" s="387" t="e">
        <f t="shared" si="17"/>
        <v>#DIV/0!</v>
      </c>
    </row>
    <row r="144" spans="1:7" ht="11.25">
      <c r="A144" s="414" t="s">
        <v>296</v>
      </c>
      <c r="B144" s="79"/>
      <c r="C144" s="287">
        <v>37000</v>
      </c>
      <c r="D144" s="361">
        <f t="shared" si="15"/>
        <v>0.5115008625722445</v>
      </c>
      <c r="E144" s="180">
        <v>37000</v>
      </c>
      <c r="F144" s="361">
        <f t="shared" si="16"/>
        <v>0.36310778691722284</v>
      </c>
      <c r="G144" s="387">
        <f t="shared" si="17"/>
        <v>100</v>
      </c>
    </row>
    <row r="145" spans="1:7" ht="11.25">
      <c r="A145" s="439" t="s">
        <v>320</v>
      </c>
      <c r="B145" s="79"/>
      <c r="C145" s="287">
        <v>25000</v>
      </c>
      <c r="D145" s="361">
        <f t="shared" si="15"/>
        <v>0.34560869092719215</v>
      </c>
      <c r="E145" s="180">
        <v>25000</v>
      </c>
      <c r="F145" s="361">
        <f t="shared" si="16"/>
        <v>0.24534309926839382</v>
      </c>
      <c r="G145" s="387">
        <f t="shared" si="17"/>
        <v>100</v>
      </c>
    </row>
    <row r="146" spans="1:7" ht="11.25">
      <c r="A146" s="414" t="s">
        <v>297</v>
      </c>
      <c r="B146" s="79"/>
      <c r="C146" s="287"/>
      <c r="D146" s="361">
        <f t="shared" si="15"/>
        <v>0</v>
      </c>
      <c r="E146" s="180"/>
      <c r="F146" s="361">
        <f t="shared" si="16"/>
        <v>0</v>
      </c>
      <c r="G146" s="387" t="e">
        <f t="shared" si="17"/>
        <v>#DIV/0!</v>
      </c>
    </row>
    <row r="147" spans="1:7" ht="11.25">
      <c r="A147" s="414" t="s">
        <v>298</v>
      </c>
      <c r="B147" s="79"/>
      <c r="C147" s="287"/>
      <c r="D147" s="361">
        <f t="shared" si="15"/>
        <v>0</v>
      </c>
      <c r="E147" s="180"/>
      <c r="F147" s="361">
        <f t="shared" si="16"/>
        <v>0</v>
      </c>
      <c r="G147" s="387" t="e">
        <f t="shared" si="17"/>
        <v>#DIV/0!</v>
      </c>
    </row>
    <row r="148" spans="1:7" ht="11.25">
      <c r="A148" s="414" t="s">
        <v>299</v>
      </c>
      <c r="B148" s="79"/>
      <c r="C148" s="287">
        <v>800</v>
      </c>
      <c r="D148" s="361">
        <f t="shared" si="15"/>
        <v>0.011059478109670149</v>
      </c>
      <c r="E148" s="180">
        <v>800</v>
      </c>
      <c r="F148" s="361">
        <f t="shared" si="16"/>
        <v>0.007850979176588602</v>
      </c>
      <c r="G148" s="387">
        <f t="shared" si="17"/>
        <v>100</v>
      </c>
    </row>
    <row r="149" spans="1:7" ht="11.25">
      <c r="A149" s="414" t="s">
        <v>300</v>
      </c>
      <c r="B149" s="79"/>
      <c r="C149" s="287">
        <v>40000</v>
      </c>
      <c r="D149" s="361">
        <f t="shared" si="15"/>
        <v>0.5529739054835074</v>
      </c>
      <c r="E149" s="180">
        <v>40000</v>
      </c>
      <c r="F149" s="361">
        <f t="shared" si="16"/>
        <v>0.39254895882943014</v>
      </c>
      <c r="G149" s="387">
        <f t="shared" si="17"/>
        <v>100</v>
      </c>
    </row>
    <row r="150" spans="1:7" ht="11.25">
      <c r="A150" s="414" t="s">
        <v>301</v>
      </c>
      <c r="B150" s="79"/>
      <c r="C150" s="287">
        <v>7680</v>
      </c>
      <c r="D150" s="361">
        <f t="shared" si="15"/>
        <v>0.10617098985283344</v>
      </c>
      <c r="E150" s="180">
        <v>7680</v>
      </c>
      <c r="F150" s="361">
        <f t="shared" si="16"/>
        <v>0.07536940009525059</v>
      </c>
      <c r="G150" s="387">
        <f t="shared" si="17"/>
        <v>100</v>
      </c>
    </row>
    <row r="151" spans="1:7" ht="11.25">
      <c r="A151" s="414" t="s">
        <v>302</v>
      </c>
      <c r="B151" s="79"/>
      <c r="C151" s="287">
        <v>20000</v>
      </c>
      <c r="D151" s="361">
        <f t="shared" si="15"/>
        <v>0.2764869527417537</v>
      </c>
      <c r="E151" s="180">
        <v>20000</v>
      </c>
      <c r="F151" s="361">
        <f t="shared" si="16"/>
        <v>0.19627447941471507</v>
      </c>
      <c r="G151" s="387">
        <f t="shared" si="17"/>
        <v>100</v>
      </c>
    </row>
    <row r="152" spans="1:7" ht="11.25">
      <c r="A152" s="414" t="s">
        <v>303</v>
      </c>
      <c r="B152" s="79"/>
      <c r="C152" s="287"/>
      <c r="D152" s="361">
        <f t="shared" si="15"/>
        <v>0</v>
      </c>
      <c r="E152" s="180"/>
      <c r="F152" s="361">
        <f t="shared" si="16"/>
        <v>0</v>
      </c>
      <c r="G152" s="387" t="e">
        <f t="shared" si="17"/>
        <v>#DIV/0!</v>
      </c>
    </row>
    <row r="153" spans="1:7" ht="11.25">
      <c r="A153" s="414" t="s">
        <v>304</v>
      </c>
      <c r="B153" s="79"/>
      <c r="C153" s="287">
        <v>50000</v>
      </c>
      <c r="D153" s="361">
        <f t="shared" si="15"/>
        <v>0.6912173818543843</v>
      </c>
      <c r="E153" s="180">
        <v>50000</v>
      </c>
      <c r="F153" s="361">
        <f t="shared" si="16"/>
        <v>0.49068619853678763</v>
      </c>
      <c r="G153" s="387">
        <f t="shared" si="17"/>
        <v>100</v>
      </c>
    </row>
    <row r="154" spans="1:7" ht="11.25">
      <c r="A154" s="414" t="s">
        <v>305</v>
      </c>
      <c r="B154" s="79"/>
      <c r="C154" s="287">
        <v>5000</v>
      </c>
      <c r="D154" s="361">
        <f t="shared" si="15"/>
        <v>0.06912173818543843</v>
      </c>
      <c r="E154" s="180">
        <v>5000</v>
      </c>
      <c r="F154" s="361">
        <f t="shared" si="16"/>
        <v>0.04906861985367877</v>
      </c>
      <c r="G154" s="387">
        <f t="shared" si="17"/>
        <v>100</v>
      </c>
    </row>
    <row r="155" spans="1:7" ht="12" thickBot="1">
      <c r="A155" s="79"/>
      <c r="B155" s="79"/>
      <c r="C155" s="322"/>
      <c r="D155" s="361">
        <f t="shared" si="15"/>
        <v>0</v>
      </c>
      <c r="E155" s="180"/>
      <c r="F155" s="361">
        <f t="shared" si="16"/>
        <v>0</v>
      </c>
      <c r="G155" s="388" t="e">
        <f t="shared" si="17"/>
        <v>#DIV/0!</v>
      </c>
    </row>
    <row r="156" spans="1:7" ht="12" thickBot="1">
      <c r="A156" s="302">
        <v>46</v>
      </c>
      <c r="B156" s="316" t="s">
        <v>98</v>
      </c>
      <c r="C156" s="500">
        <f>SUM(C110:C123,C139:C155)</f>
        <v>793290</v>
      </c>
      <c r="D156" s="363">
        <f t="shared" si="15"/>
        <v>10.96671673702529</v>
      </c>
      <c r="E156" s="438">
        <f>SUM(E110:E123,E139:E155)</f>
        <v>773290</v>
      </c>
      <c r="F156" s="363">
        <f t="shared" si="16"/>
        <v>7.588854609330251</v>
      </c>
      <c r="G156" s="385">
        <f t="shared" si="17"/>
        <v>97.47885388697702</v>
      </c>
    </row>
    <row r="157" spans="1:7" ht="11.25">
      <c r="A157" s="79"/>
      <c r="B157" s="79"/>
      <c r="C157" s="79"/>
      <c r="D157" s="79"/>
      <c r="E157" s="79"/>
      <c r="F157" s="79"/>
      <c r="G157" s="313"/>
    </row>
    <row r="158" spans="1:7" ht="12" thickBot="1">
      <c r="A158" s="79"/>
      <c r="B158" s="79"/>
      <c r="C158" s="79"/>
      <c r="D158" s="79"/>
      <c r="E158" s="79"/>
      <c r="F158" s="79"/>
      <c r="G158" s="313"/>
    </row>
    <row r="159" spans="1:7" ht="11.25">
      <c r="A159" s="414" t="s">
        <v>306</v>
      </c>
      <c r="B159" s="79"/>
      <c r="C159" s="413"/>
      <c r="D159" s="360">
        <f>$C159/$C$180*100</f>
        <v>0</v>
      </c>
      <c r="E159" s="529"/>
      <c r="F159" s="360">
        <f>$E159/$E$180*100</f>
        <v>0</v>
      </c>
      <c r="G159" s="383" t="e">
        <f>E159/C159*100</f>
        <v>#DIV/0!</v>
      </c>
    </row>
    <row r="160" spans="1:7" ht="11.25">
      <c r="A160" s="414" t="s">
        <v>307</v>
      </c>
      <c r="B160" s="79"/>
      <c r="C160" s="582"/>
      <c r="D160" s="361">
        <f>$C160/$C$180*100</f>
        <v>0</v>
      </c>
      <c r="E160" s="416"/>
      <c r="F160" s="361">
        <f>$E160/$E$180*100</f>
        <v>0</v>
      </c>
      <c r="G160" s="384" t="e">
        <f>E160/C160*100</f>
        <v>#DIV/0!</v>
      </c>
    </row>
    <row r="161" spans="1:7" ht="11.25">
      <c r="A161" s="414" t="s">
        <v>308</v>
      </c>
      <c r="B161" s="79"/>
      <c r="C161" s="346">
        <v>40000</v>
      </c>
      <c r="D161" s="361">
        <f>$C161/$C$180*100</f>
        <v>0.5529739054835074</v>
      </c>
      <c r="E161" s="511">
        <v>40000</v>
      </c>
      <c r="F161" s="361">
        <f>$E161/$E$180*100</f>
        <v>0.39254895882943014</v>
      </c>
      <c r="G161" s="384">
        <f>E161/C161*100</f>
        <v>100</v>
      </c>
    </row>
    <row r="162" spans="1:7" ht="11.25">
      <c r="A162" s="414" t="s">
        <v>309</v>
      </c>
      <c r="B162" s="79"/>
      <c r="C162" s="314"/>
      <c r="D162" s="361">
        <f>$C162/$C$180*100</f>
        <v>0</v>
      </c>
      <c r="E162" s="333"/>
      <c r="F162" s="361">
        <f>$E162/$E$180*100</f>
        <v>0</v>
      </c>
      <c r="G162" s="384" t="e">
        <f>E162/C162*100</f>
        <v>#DIV/0!</v>
      </c>
    </row>
    <row r="163" spans="1:7" ht="12" thickBot="1">
      <c r="A163" s="414" t="s">
        <v>310</v>
      </c>
      <c r="B163" s="79"/>
      <c r="C163" s="315"/>
      <c r="D163" s="362">
        <f>$C163/$C$180*100</f>
        <v>0</v>
      </c>
      <c r="E163" s="522"/>
      <c r="F163" s="362">
        <f>$E163/$E$180*100</f>
        <v>0</v>
      </c>
      <c r="G163" s="421" t="e">
        <f>E163/C163*100</f>
        <v>#DIV/0!</v>
      </c>
    </row>
    <row r="164" spans="1:7" ht="12" thickBot="1">
      <c r="A164" s="79"/>
      <c r="B164" s="79"/>
      <c r="C164" s="333"/>
      <c r="D164" s="286"/>
      <c r="E164" s="333"/>
      <c r="F164" s="286"/>
      <c r="G164" s="313"/>
    </row>
    <row r="165" spans="1:7" ht="12" thickBot="1">
      <c r="A165" s="302">
        <v>47</v>
      </c>
      <c r="B165" s="316" t="s">
        <v>144</v>
      </c>
      <c r="C165" s="427">
        <f>+SUM(C159:C163)</f>
        <v>40000</v>
      </c>
      <c r="D165" s="363">
        <f>$C165/$C$180*100</f>
        <v>0.5529739054835074</v>
      </c>
      <c r="E165" s="427">
        <f>+SUM(E159:E163)</f>
        <v>40000</v>
      </c>
      <c r="F165" s="363">
        <f>$E165/$E$180*100</f>
        <v>0.39254895882943014</v>
      </c>
      <c r="G165" s="389">
        <f>E165/C165*100</f>
        <v>100</v>
      </c>
    </row>
    <row r="166" spans="1:7" ht="12" thickBot="1">
      <c r="A166" s="302"/>
      <c r="B166" s="316"/>
      <c r="C166" s="333"/>
      <c r="D166" s="286"/>
      <c r="E166" s="333"/>
      <c r="F166" s="286"/>
      <c r="G166" s="313"/>
    </row>
    <row r="167" spans="1:7" ht="11.25">
      <c r="A167" s="414" t="s">
        <v>311</v>
      </c>
      <c r="B167" s="312"/>
      <c r="C167" s="330">
        <v>100000</v>
      </c>
      <c r="D167" s="360">
        <f>$C167/$C$180*100</f>
        <v>1.3824347637087686</v>
      </c>
      <c r="E167" s="523">
        <v>100000</v>
      </c>
      <c r="F167" s="360">
        <f>$E167/$E$180*100</f>
        <v>0.9813723970735753</v>
      </c>
      <c r="G167" s="383">
        <f>E167/C167*100</f>
        <v>100</v>
      </c>
    </row>
    <row r="168" spans="1:7" ht="11.25">
      <c r="A168" s="414" t="s">
        <v>312</v>
      </c>
      <c r="B168" s="312"/>
      <c r="C168" s="331"/>
      <c r="D168" s="361">
        <f>$C168/$C$180*100</f>
        <v>0</v>
      </c>
      <c r="E168" s="333"/>
      <c r="F168" s="428"/>
      <c r="G168" s="384"/>
    </row>
    <row r="169" spans="1:7" ht="11.25">
      <c r="A169" s="414" t="s">
        <v>313</v>
      </c>
      <c r="B169" s="312"/>
      <c r="C169" s="331"/>
      <c r="D169" s="361">
        <f>$C169/$C$180*100</f>
        <v>0</v>
      </c>
      <c r="E169" s="333"/>
      <c r="F169" s="428"/>
      <c r="G169" s="384"/>
    </row>
    <row r="170" spans="1:7" ht="12" thickBot="1">
      <c r="A170" s="414" t="s">
        <v>314</v>
      </c>
      <c r="B170" s="79"/>
      <c r="C170" s="332"/>
      <c r="D170" s="362">
        <f>$C170/$C$180*100</f>
        <v>0</v>
      </c>
      <c r="E170" s="522"/>
      <c r="F170" s="429"/>
      <c r="G170" s="421"/>
    </row>
    <row r="171" spans="1:7" ht="11.25">
      <c r="A171" s="79"/>
      <c r="B171" s="79"/>
      <c r="C171" s="333"/>
      <c r="D171" s="336"/>
      <c r="E171" s="333"/>
      <c r="F171" s="286"/>
      <c r="G171" s="313"/>
    </row>
    <row r="172" spans="1:7" ht="12" thickBot="1">
      <c r="A172" s="79"/>
      <c r="B172" s="79"/>
      <c r="C172" s="333"/>
      <c r="D172" s="336"/>
      <c r="E172" s="333"/>
      <c r="F172" s="286"/>
      <c r="G172" s="313"/>
    </row>
    <row r="173" spans="1:7" ht="12" thickBot="1">
      <c r="A173" s="316">
        <v>48</v>
      </c>
      <c r="B173" s="316" t="s">
        <v>122</v>
      </c>
      <c r="C173" s="500">
        <f>+SUM(C167:C172)</f>
        <v>100000</v>
      </c>
      <c r="D173" s="363">
        <f>$C173/$C$180*100</f>
        <v>1.3824347637087686</v>
      </c>
      <c r="E173" s="500">
        <f>+SUM(E167:E172)</f>
        <v>100000</v>
      </c>
      <c r="F173" s="363">
        <f>$E173/$E$180*100</f>
        <v>0.9813723970735753</v>
      </c>
      <c r="G173" s="389">
        <f>E173/C173*100</f>
        <v>100</v>
      </c>
    </row>
    <row r="174" spans="1:7" ht="12" thickBot="1">
      <c r="A174" s="79"/>
      <c r="B174" s="79"/>
      <c r="C174" s="79"/>
      <c r="D174" s="286"/>
      <c r="E174" s="79"/>
      <c r="F174" s="286"/>
      <c r="G174" s="313"/>
    </row>
    <row r="175" spans="1:7" ht="11.25">
      <c r="A175" s="414" t="s">
        <v>315</v>
      </c>
      <c r="B175" s="79"/>
      <c r="C175" s="330"/>
      <c r="D175" s="360">
        <f>$C175/$C$180*100</f>
        <v>0</v>
      </c>
      <c r="E175" s="523"/>
      <c r="F175" s="360">
        <f>$E175/$E$180*100</f>
        <v>0</v>
      </c>
      <c r="G175" s="383"/>
    </row>
    <row r="176" spans="1:7" ht="12" thickBot="1">
      <c r="A176" s="414" t="s">
        <v>316</v>
      </c>
      <c r="B176" s="79"/>
      <c r="C176" s="531">
        <v>22000</v>
      </c>
      <c r="D176" s="362">
        <f>$C176/$C$180*100</f>
        <v>0.3041356480159291</v>
      </c>
      <c r="E176" s="532">
        <v>25000</v>
      </c>
      <c r="F176" s="362">
        <f>$E176/$E$180*100</f>
        <v>0.24534309926839382</v>
      </c>
      <c r="G176" s="421">
        <f>E176/C176*100</f>
        <v>113.63636363636364</v>
      </c>
    </row>
    <row r="177" spans="1:7" ht="12" thickBot="1">
      <c r="A177" s="79"/>
      <c r="B177" s="79"/>
      <c r="C177" s="511"/>
      <c r="D177" s="286"/>
      <c r="E177" s="511"/>
      <c r="F177" s="286"/>
      <c r="G177" s="313"/>
    </row>
    <row r="178" spans="1:7" ht="12" thickBot="1">
      <c r="A178" s="302">
        <v>71</v>
      </c>
      <c r="B178" s="79"/>
      <c r="C178" s="427">
        <f>+SUM(C175:C176)</f>
        <v>22000</v>
      </c>
      <c r="D178" s="533">
        <f>$C178/$C$180*100</f>
        <v>0.3041356480159291</v>
      </c>
      <c r="E178" s="534">
        <f>+SUM(E175:E176)</f>
        <v>25000</v>
      </c>
      <c r="F178" s="535">
        <f>$E178/$E$180*100</f>
        <v>0.24534309926839382</v>
      </c>
      <c r="G178" s="385">
        <f>E178/C178*100</f>
        <v>113.63636363636364</v>
      </c>
    </row>
    <row r="179" spans="1:7" s="321" customFormat="1" ht="12" thickBot="1">
      <c r="A179" s="416"/>
      <c r="B179" s="416"/>
      <c r="C179" s="329"/>
      <c r="D179" s="336"/>
      <c r="E179" s="329"/>
      <c r="F179" s="336"/>
      <c r="G179" s="313"/>
    </row>
    <row r="180" spans="1:7" ht="12" thickBot="1">
      <c r="A180" s="79"/>
      <c r="B180" s="316" t="s">
        <v>102</v>
      </c>
      <c r="C180" s="317">
        <f>C38+C91+C93+C106+C108+C156+C165+C173+C178</f>
        <v>7233614.390000001</v>
      </c>
      <c r="D180" s="525">
        <f>$C180/$C$180*100</f>
        <v>100</v>
      </c>
      <c r="E180" s="317">
        <f>+SUM(E173,E156,E108,E106,E93,E91,E38,E175,E176,E165)</f>
        <v>10189811.7675</v>
      </c>
      <c r="F180" s="391">
        <f>+SUM(F176,F173,F156,F106,F93,F91,F38,F165,F108)</f>
        <v>100.00000000000001</v>
      </c>
      <c r="G180" s="389">
        <f>E180/C180*100</f>
        <v>140.86750023040693</v>
      </c>
    </row>
    <row r="181" spans="1:7" ht="11.25">
      <c r="A181" s="79"/>
      <c r="B181" s="302"/>
      <c r="C181" s="181"/>
      <c r="D181" s="305"/>
      <c r="E181" s="181"/>
      <c r="F181" s="187"/>
      <c r="G181" s="337"/>
    </row>
    <row r="182" ht="11.25">
      <c r="A182" s="79"/>
    </row>
    <row r="184" ht="11.25">
      <c r="C184" s="122"/>
    </row>
    <row r="185" ht="11.25">
      <c r="C185" s="122"/>
    </row>
    <row r="186" ht="11.25">
      <c r="C186" s="122"/>
    </row>
    <row r="187" ht="11.25">
      <c r="C187" s="122"/>
    </row>
    <row r="191" ht="11.25">
      <c r="E191" s="169" t="e">
        <f>E180+'PJ-PiJP-rashod-ok'!#REF!+'PJ-GiPU-rashod-ok'!#REF!+'PJ PARKING RASHOD'!#REF!+'PJ-ZS-rashod-ok'!#REF!</f>
        <v>#REF!</v>
      </c>
    </row>
    <row r="202" ht="11.25">
      <c r="C202" s="122"/>
    </row>
    <row r="225" spans="6:7" ht="11.25">
      <c r="F225" s="182"/>
      <c r="G225" s="338"/>
    </row>
    <row r="226" spans="2:7" ht="11.25">
      <c r="B226" s="339"/>
      <c r="C226" s="20"/>
      <c r="F226" s="182"/>
      <c r="G226" s="338"/>
    </row>
    <row r="227" spans="2:7" ht="11.25">
      <c r="B227" s="339"/>
      <c r="F227" s="182"/>
      <c r="G227" s="169"/>
    </row>
    <row r="228" spans="3:7" ht="11.25">
      <c r="C228" s="324"/>
      <c r="D228" s="340"/>
      <c r="F228" s="182"/>
      <c r="G228" s="169"/>
    </row>
    <row r="229" spans="6:7" ht="11.25">
      <c r="F229" s="182"/>
      <c r="G229" s="169"/>
    </row>
    <row r="230" spans="3:7" ht="11.25">
      <c r="C230" s="324"/>
      <c r="D230" s="341"/>
      <c r="F230" s="182"/>
      <c r="G230" s="169"/>
    </row>
    <row r="231" spans="1:2" ht="11.25">
      <c r="A231" s="342"/>
      <c r="B231" s="343"/>
    </row>
    <row r="232" ht="11.25">
      <c r="C232" s="324"/>
    </row>
    <row r="233" spans="2:7" ht="11.25">
      <c r="B233" s="20"/>
      <c r="C233" s="344"/>
      <c r="D233" s="20"/>
      <c r="E233" s="20"/>
      <c r="F233" s="20"/>
      <c r="G233" s="20"/>
    </row>
    <row r="259" ht="11.25">
      <c r="G259" s="182"/>
    </row>
    <row r="260" ht="11.25">
      <c r="G260" s="182"/>
    </row>
    <row r="261" ht="11.25">
      <c r="G261" s="182"/>
    </row>
    <row r="262" ht="11.25">
      <c r="G262" s="182"/>
    </row>
    <row r="263" ht="11.25">
      <c r="G263" s="182"/>
    </row>
    <row r="264" ht="11.25">
      <c r="G264" s="182"/>
    </row>
    <row r="265" ht="11.25">
      <c r="G265" s="182"/>
    </row>
    <row r="266" ht="11.25">
      <c r="G266" s="182"/>
    </row>
    <row r="267" ht="11.25">
      <c r="G267" s="182"/>
    </row>
    <row r="268" ht="11.25">
      <c r="G268" s="182"/>
    </row>
    <row r="269" ht="11.25">
      <c r="G269" s="182"/>
    </row>
    <row r="270" ht="11.25">
      <c r="G270" s="182"/>
    </row>
    <row r="271" ht="11.25">
      <c r="G271" s="182"/>
    </row>
    <row r="272" ht="11.25">
      <c r="G272" s="182"/>
    </row>
    <row r="273" ht="11.25">
      <c r="G273" s="182"/>
    </row>
    <row r="274" ht="11.25">
      <c r="G274" s="182"/>
    </row>
    <row r="275" ht="11.25">
      <c r="G275" s="182"/>
    </row>
    <row r="276" ht="11.25">
      <c r="G276" s="182"/>
    </row>
    <row r="277" ht="11.25">
      <c r="G277" s="182"/>
    </row>
    <row r="278" ht="11.25">
      <c r="G278" s="182"/>
    </row>
    <row r="279" ht="11.25">
      <c r="G279" s="182"/>
    </row>
    <row r="280" ht="11.25">
      <c r="G280" s="182"/>
    </row>
    <row r="281" ht="11.25">
      <c r="G281" s="182"/>
    </row>
    <row r="282" ht="11.25">
      <c r="G282" s="182"/>
    </row>
    <row r="283" ht="11.25">
      <c r="G283" s="182"/>
    </row>
    <row r="284" ht="11.25">
      <c r="G284" s="182"/>
    </row>
    <row r="285" ht="11.25">
      <c r="G285" s="182"/>
    </row>
    <row r="286" ht="11.25">
      <c r="G286" s="182"/>
    </row>
    <row r="287" ht="11.25">
      <c r="G287" s="182"/>
    </row>
    <row r="288" ht="11.25">
      <c r="G288" s="182"/>
    </row>
    <row r="289" ht="11.25">
      <c r="G289" s="182"/>
    </row>
    <row r="290" ht="11.25">
      <c r="G290" s="182"/>
    </row>
    <row r="291" ht="11.25">
      <c r="G291" s="182"/>
    </row>
    <row r="292" ht="11.25">
      <c r="G292" s="182"/>
    </row>
    <row r="293" ht="11.25">
      <c r="G293" s="182"/>
    </row>
    <row r="294" ht="11.25">
      <c r="G294" s="182"/>
    </row>
    <row r="295" ht="11.25">
      <c r="G295" s="182"/>
    </row>
    <row r="296" ht="11.25">
      <c r="G296" s="182"/>
    </row>
    <row r="297" ht="11.25">
      <c r="G297" s="182"/>
    </row>
    <row r="298" ht="11.25">
      <c r="G298" s="182"/>
    </row>
    <row r="299" ht="11.25">
      <c r="G299" s="182"/>
    </row>
    <row r="300" ht="11.25">
      <c r="G300" s="182"/>
    </row>
    <row r="301" ht="11.25">
      <c r="G301" s="182"/>
    </row>
    <row r="302" ht="11.25">
      <c r="G302" s="182"/>
    </row>
    <row r="303" ht="11.25">
      <c r="G303" s="182"/>
    </row>
    <row r="304" ht="11.25">
      <c r="G304" s="182"/>
    </row>
    <row r="305" ht="11.25">
      <c r="G305" s="182"/>
    </row>
    <row r="306" ht="11.25">
      <c r="G306" s="182"/>
    </row>
    <row r="307" ht="11.25">
      <c r="G307" s="182"/>
    </row>
    <row r="308" ht="11.25">
      <c r="G308" s="182"/>
    </row>
    <row r="309" ht="11.25">
      <c r="G309" s="182"/>
    </row>
    <row r="310" ht="11.25">
      <c r="G310" s="182"/>
    </row>
    <row r="311" ht="11.25">
      <c r="G311" s="182"/>
    </row>
    <row r="312" ht="11.25">
      <c r="G312" s="182"/>
    </row>
    <row r="313" ht="11.25">
      <c r="G313" s="182"/>
    </row>
    <row r="314" ht="11.25">
      <c r="G314" s="182"/>
    </row>
    <row r="315" ht="11.25">
      <c r="G315" s="182"/>
    </row>
    <row r="316" ht="11.25">
      <c r="G316" s="182"/>
    </row>
    <row r="317" ht="11.25">
      <c r="G317" s="182"/>
    </row>
    <row r="318" ht="11.25">
      <c r="G318" s="182"/>
    </row>
    <row r="319" ht="11.25">
      <c r="G319" s="182"/>
    </row>
    <row r="320" ht="11.25">
      <c r="G320" s="182"/>
    </row>
    <row r="321" ht="11.25">
      <c r="G321" s="182"/>
    </row>
    <row r="322" ht="11.25">
      <c r="G322" s="182"/>
    </row>
    <row r="323" ht="11.25">
      <c r="G323" s="182"/>
    </row>
    <row r="324" ht="11.25">
      <c r="G324" s="182"/>
    </row>
    <row r="325" ht="11.25">
      <c r="G325" s="182"/>
    </row>
    <row r="326" ht="11.25">
      <c r="G326" s="182"/>
    </row>
    <row r="327" ht="11.25">
      <c r="G327" s="182"/>
    </row>
    <row r="328" ht="11.25">
      <c r="G328" s="182"/>
    </row>
    <row r="329" ht="11.25">
      <c r="G329" s="182"/>
    </row>
    <row r="330" ht="11.25">
      <c r="G330" s="182"/>
    </row>
    <row r="331" ht="11.25">
      <c r="G331" s="182"/>
    </row>
    <row r="332" ht="11.25">
      <c r="G332" s="182"/>
    </row>
    <row r="333" ht="11.25">
      <c r="G333" s="182"/>
    </row>
    <row r="334" ht="11.25">
      <c r="G334" s="182"/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  <row r="349" ht="11.25">
      <c r="G349" s="182"/>
    </row>
    <row r="350" ht="11.25">
      <c r="G350" s="182"/>
    </row>
    <row r="351" ht="11.25">
      <c r="G351" s="182"/>
    </row>
    <row r="352" ht="11.25">
      <c r="G352" s="182"/>
    </row>
    <row r="353" ht="11.25">
      <c r="G353" s="182"/>
    </row>
    <row r="354" ht="11.25">
      <c r="G354" s="182"/>
    </row>
    <row r="355" ht="11.25">
      <c r="G355" s="182"/>
    </row>
    <row r="356" ht="11.25">
      <c r="G356" s="182"/>
    </row>
    <row r="357" ht="11.25">
      <c r="G357" s="182"/>
    </row>
    <row r="358" ht="11.25">
      <c r="G358" s="182"/>
    </row>
    <row r="359" ht="11.25">
      <c r="G359" s="182"/>
    </row>
    <row r="360" ht="11.25">
      <c r="G360" s="182"/>
    </row>
    <row r="361" ht="11.25">
      <c r="G361" s="182"/>
    </row>
    <row r="362" ht="11.25">
      <c r="G362" s="182"/>
    </row>
    <row r="363" ht="11.25">
      <c r="G363" s="182"/>
    </row>
    <row r="364" ht="11.25">
      <c r="G364" s="182"/>
    </row>
    <row r="365" ht="11.25">
      <c r="G365" s="182"/>
    </row>
    <row r="366" ht="11.25">
      <c r="G366" s="182"/>
    </row>
    <row r="367" ht="11.25">
      <c r="G367" s="182"/>
    </row>
    <row r="368" ht="11.25">
      <c r="G368" s="182"/>
    </row>
    <row r="369" ht="11.25">
      <c r="G369" s="182"/>
    </row>
    <row r="370" ht="11.25">
      <c r="G370" s="182"/>
    </row>
    <row r="371" ht="11.25">
      <c r="G371" s="182"/>
    </row>
    <row r="372" ht="11.25">
      <c r="G372" s="182"/>
    </row>
    <row r="373" ht="11.25">
      <c r="G373" s="182"/>
    </row>
  </sheetData>
  <sheetProtection/>
  <hyperlinks>
    <hyperlink ref="B6" r:id="rId1" display="www.ivanj.net"/>
    <hyperlink ref="B64" r:id="rId2" display="www.ivanj.net"/>
  </hyperlinks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62"/>
  <sheetViews>
    <sheetView zoomScalePageLayoutView="0" workbookViewId="0" topLeftCell="A46">
      <selection activeCell="C30" sqref="C30"/>
    </sheetView>
  </sheetViews>
  <sheetFormatPr defaultColWidth="9.140625" defaultRowHeight="12.75"/>
  <cols>
    <col min="1" max="1" width="7.28125" style="34" customWidth="1"/>
    <col min="2" max="2" width="33.8515625" style="34" customWidth="1"/>
    <col min="3" max="3" width="15.57421875" style="34" customWidth="1"/>
    <col min="4" max="4" width="7.00390625" style="34" bestFit="1" customWidth="1"/>
    <col min="5" max="5" width="15.7109375" style="34" customWidth="1"/>
    <col min="6" max="6" width="7.8515625" style="34" bestFit="1" customWidth="1"/>
    <col min="7" max="7" width="9.00390625" style="34" bestFit="1" customWidth="1"/>
    <col min="8" max="8" width="9.140625" style="34" customWidth="1"/>
    <col min="9" max="9" width="44.421875" style="34" bestFit="1" customWidth="1"/>
    <col min="10" max="16384" width="9.140625" style="34" customWidth="1"/>
  </cols>
  <sheetData>
    <row r="1" spans="2:7" ht="13.5">
      <c r="B1" s="35" t="s">
        <v>166</v>
      </c>
      <c r="F1"/>
      <c r="G1" s="50" t="s">
        <v>186</v>
      </c>
    </row>
    <row r="2" spans="2:7" ht="13.5">
      <c r="B2" s="37" t="s">
        <v>33</v>
      </c>
      <c r="C2" s="34" t="s">
        <v>218</v>
      </c>
      <c r="F2" s="45"/>
      <c r="G2" s="108"/>
    </row>
    <row r="3" spans="1:7" ht="13.5">
      <c r="A3" s="162"/>
      <c r="B3" s="37" t="s">
        <v>34</v>
      </c>
      <c r="C3" s="34" t="s">
        <v>219</v>
      </c>
      <c r="F3" s="45"/>
      <c r="G3" s="108"/>
    </row>
    <row r="4" spans="2:7" ht="18">
      <c r="B4" s="38" t="s">
        <v>35</v>
      </c>
      <c r="C4" s="34" t="s">
        <v>220</v>
      </c>
      <c r="F4" s="51"/>
      <c r="G4" s="41"/>
    </row>
    <row r="5" spans="3:7" ht="13.5">
      <c r="C5" s="34" t="s">
        <v>378</v>
      </c>
      <c r="F5" s="48"/>
      <c r="G5" s="41"/>
    </row>
    <row r="6" spans="1:7" ht="13.5">
      <c r="A6" s="149"/>
      <c r="B6" s="124" t="s">
        <v>79</v>
      </c>
      <c r="C6" s="45"/>
      <c r="D6" s="45"/>
      <c r="E6" s="45"/>
      <c r="F6" s="48"/>
      <c r="G6" s="41"/>
    </row>
    <row r="7" ht="16.5">
      <c r="B7" s="39" t="s">
        <v>374</v>
      </c>
    </row>
    <row r="9" ht="16.5">
      <c r="B9" s="62" t="s">
        <v>150</v>
      </c>
    </row>
    <row r="11" ht="13.5">
      <c r="B11" s="84" t="s">
        <v>81</v>
      </c>
    </row>
    <row r="14" spans="1:6" ht="13.5">
      <c r="A14" s="189" t="s">
        <v>66</v>
      </c>
      <c r="B14" s="190" t="s">
        <v>101</v>
      </c>
      <c r="E14" s="176">
        <f>+E37</f>
        <v>2283000</v>
      </c>
      <c r="F14" s="159" t="s">
        <v>82</v>
      </c>
    </row>
    <row r="16" spans="1:7" ht="13.5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</row>
    <row r="17" spans="3:4" ht="14.25" thickBot="1">
      <c r="C17" s="64"/>
      <c r="D17" s="64"/>
    </row>
    <row r="18" spans="1:7" ht="13.5">
      <c r="A18" s="399"/>
      <c r="B18" s="95"/>
      <c r="C18" s="365">
        <v>2016</v>
      </c>
      <c r="D18" s="364" t="s">
        <v>28</v>
      </c>
      <c r="E18" s="646">
        <v>2017</v>
      </c>
      <c r="F18" s="366" t="s">
        <v>28</v>
      </c>
      <c r="G18" s="367" t="s">
        <v>13</v>
      </c>
    </row>
    <row r="19" spans="1:7" ht="13.5">
      <c r="A19" s="233"/>
      <c r="B19" s="233"/>
      <c r="C19" s="358" t="s">
        <v>16</v>
      </c>
      <c r="D19" s="357" t="s">
        <v>15</v>
      </c>
      <c r="E19" s="358" t="s">
        <v>16</v>
      </c>
      <c r="F19" s="357" t="s">
        <v>15</v>
      </c>
      <c r="G19" s="368" t="s">
        <v>40</v>
      </c>
    </row>
    <row r="20" spans="1:7" ht="13.5">
      <c r="A20" s="233"/>
      <c r="B20" s="233"/>
      <c r="C20" s="157"/>
      <c r="D20" s="100"/>
      <c r="E20" s="157"/>
      <c r="F20" s="100"/>
      <c r="G20" s="369"/>
    </row>
    <row r="21" spans="1:11" ht="13.5">
      <c r="A21" s="400" t="s">
        <v>0</v>
      </c>
      <c r="B21" s="403" t="s">
        <v>70</v>
      </c>
      <c r="C21" s="158">
        <f>(1436000+210000)/1.25+200000</f>
        <v>1516800</v>
      </c>
      <c r="D21" s="286">
        <f>+C21/C$37*100</f>
        <v>65.61121204256423</v>
      </c>
      <c r="E21" s="158">
        <f>(1300000+180000)/1.25+200000</f>
        <v>1384000</v>
      </c>
      <c r="F21" s="99">
        <f>+E21/E$37*100</f>
        <v>60.62198861147613</v>
      </c>
      <c r="G21" s="370">
        <f>+E21/C21*100</f>
        <v>91.24472573839662</v>
      </c>
      <c r="I21" s="34" t="s">
        <v>195</v>
      </c>
      <c r="J21" s="34" t="e">
        <f>500000*I21</f>
        <v>#VALUE!</v>
      </c>
      <c r="K21" s="34" t="e">
        <f>500000-J21</f>
        <v>#VALUE!</v>
      </c>
    </row>
    <row r="22" spans="1:7" ht="13.5">
      <c r="A22" s="42"/>
      <c r="B22" s="404"/>
      <c r="C22" s="157"/>
      <c r="D22" s="286"/>
      <c r="E22" s="157"/>
      <c r="F22" s="99"/>
      <c r="G22" s="370"/>
    </row>
    <row r="23" spans="1:7" ht="13.5">
      <c r="A23" s="400" t="s">
        <v>1</v>
      </c>
      <c r="B23" s="403" t="s">
        <v>71</v>
      </c>
      <c r="C23" s="158">
        <f>500000/1.25</f>
        <v>400000</v>
      </c>
      <c r="D23" s="286">
        <f>+C23/C$37*100</f>
        <v>17.30253482135133</v>
      </c>
      <c r="E23" s="158">
        <f>500000/1.25</f>
        <v>400000</v>
      </c>
      <c r="F23" s="99">
        <f>+E23/E$37*100</f>
        <v>17.520805957074025</v>
      </c>
      <c r="G23" s="370">
        <f>+E23/C23*100</f>
        <v>100</v>
      </c>
    </row>
    <row r="24" spans="1:7" ht="13.5">
      <c r="A24" s="401"/>
      <c r="B24" s="405"/>
      <c r="C24" s="158"/>
      <c r="D24" s="286"/>
      <c r="E24" s="158"/>
      <c r="F24" s="99"/>
      <c r="G24" s="370"/>
    </row>
    <row r="25" spans="1:7" ht="13.5">
      <c r="A25" s="400" t="s">
        <v>2</v>
      </c>
      <c r="B25" s="403" t="s">
        <v>106</v>
      </c>
      <c r="C25" s="158">
        <v>100000</v>
      </c>
      <c r="D25" s="286">
        <f>+C25/C$37*100</f>
        <v>4.325633705337832</v>
      </c>
      <c r="E25" s="158">
        <v>100000</v>
      </c>
      <c r="F25" s="99">
        <f>+E25/E$37*100</f>
        <v>4.380201489268506</v>
      </c>
      <c r="G25" s="370">
        <f>+E25/C25*100</f>
        <v>100</v>
      </c>
    </row>
    <row r="26" spans="1:7" ht="13.5">
      <c r="A26" s="42"/>
      <c r="B26" s="42"/>
      <c r="C26" s="157"/>
      <c r="D26" s="148"/>
      <c r="E26" s="157"/>
      <c r="F26" s="100"/>
      <c r="G26" s="369"/>
    </row>
    <row r="27" spans="1:7" ht="13.5">
      <c r="A27" s="400" t="s">
        <v>3</v>
      </c>
      <c r="B27" s="403" t="s">
        <v>131</v>
      </c>
      <c r="C27" s="158">
        <v>15000</v>
      </c>
      <c r="D27" s="286">
        <f>+C27/C$37*100</f>
        <v>0.6488450558006749</v>
      </c>
      <c r="E27" s="158">
        <v>15000</v>
      </c>
      <c r="F27" s="99">
        <f>+E27/E$37*100</f>
        <v>0.657030223390276</v>
      </c>
      <c r="G27" s="370">
        <f>+E27/C27*100</f>
        <v>100</v>
      </c>
    </row>
    <row r="28" spans="1:7" ht="13.5">
      <c r="A28" s="400"/>
      <c r="B28" s="403"/>
      <c r="C28" s="158"/>
      <c r="D28" s="286"/>
      <c r="E28" s="158"/>
      <c r="F28" s="99"/>
      <c r="G28" s="370"/>
    </row>
    <row r="29" spans="1:7" ht="13.5">
      <c r="A29" s="400" t="s">
        <v>4</v>
      </c>
      <c r="B29" s="403" t="s">
        <v>193</v>
      </c>
      <c r="C29" s="158">
        <v>0</v>
      </c>
      <c r="D29" s="99">
        <f>+C29/C$37*100</f>
        <v>0</v>
      </c>
      <c r="E29" s="158">
        <v>0</v>
      </c>
      <c r="F29" s="99">
        <f>+E29/E$37*100</f>
        <v>0</v>
      </c>
      <c r="G29" s="370" t="e">
        <f>+E29/C29*100</f>
        <v>#DIV/0!</v>
      </c>
    </row>
    <row r="30" spans="1:7" ht="13.5">
      <c r="A30" s="400"/>
      <c r="B30" s="403"/>
      <c r="C30" s="158"/>
      <c r="D30" s="99"/>
      <c r="E30" s="158"/>
      <c r="F30" s="99"/>
      <c r="G30" s="370"/>
    </row>
    <row r="31" spans="1:7" ht="13.5">
      <c r="A31" s="400" t="s">
        <v>5</v>
      </c>
      <c r="B31" s="403" t="s">
        <v>194</v>
      </c>
      <c r="C31" s="158">
        <f>210000/1.25</f>
        <v>168000</v>
      </c>
      <c r="D31" s="99">
        <f>+C31/C$37*100</f>
        <v>7.267064624967558</v>
      </c>
      <c r="E31" s="158">
        <f>220000/1.25</f>
        <v>176000</v>
      </c>
      <c r="F31" s="99">
        <f>+E31/E$37*100</f>
        <v>7.709154621112571</v>
      </c>
      <c r="G31" s="370">
        <f>+E31/C31*100</f>
        <v>104.76190476190477</v>
      </c>
    </row>
    <row r="32" spans="1:7" ht="13.5">
      <c r="A32" s="400"/>
      <c r="B32" s="403"/>
      <c r="C32" s="158"/>
      <c r="D32" s="99"/>
      <c r="E32" s="158"/>
      <c r="F32" s="99"/>
      <c r="G32" s="370"/>
    </row>
    <row r="33" spans="1:7" ht="13.5">
      <c r="A33" s="400" t="s">
        <v>6</v>
      </c>
      <c r="B33" s="403" t="s">
        <v>197</v>
      </c>
      <c r="C33" s="158"/>
      <c r="D33" s="99"/>
      <c r="E33" s="158"/>
      <c r="F33" s="99"/>
      <c r="G33" s="370"/>
    </row>
    <row r="34" spans="1:9" s="64" customFormat="1" ht="13.5">
      <c r="A34" s="400"/>
      <c r="B34" s="403" t="s">
        <v>216</v>
      </c>
      <c r="C34" s="158">
        <f>140000/1.25</f>
        <v>112000</v>
      </c>
      <c r="D34" s="99">
        <f>+C34/C$37*100</f>
        <v>4.844709749978372</v>
      </c>
      <c r="E34" s="158">
        <f>260000/1.25</f>
        <v>208000</v>
      </c>
      <c r="F34" s="99">
        <f>+E34/E$37*100</f>
        <v>9.110819097678494</v>
      </c>
      <c r="G34" s="370">
        <f>+E34/C34*100</f>
        <v>185.71428571428572</v>
      </c>
      <c r="I34" s="64" t="s">
        <v>205</v>
      </c>
    </row>
    <row r="35" spans="1:9" s="64" customFormat="1" ht="13.5">
      <c r="A35" s="400"/>
      <c r="B35" s="403" t="s">
        <v>379</v>
      </c>
      <c r="C35" s="158"/>
      <c r="D35" s="99">
        <f>+C35/C$37*100</f>
        <v>0</v>
      </c>
      <c r="E35" s="158"/>
      <c r="F35" s="99">
        <f>+E35/E$37*100</f>
        <v>0</v>
      </c>
      <c r="G35" s="370" t="e">
        <f>+E35/C35*100</f>
        <v>#DIV/0!</v>
      </c>
      <c r="I35" s="64" t="s">
        <v>205</v>
      </c>
    </row>
    <row r="36" spans="1:7" ht="14.25" thickBot="1">
      <c r="A36" s="400"/>
      <c r="B36" s="42"/>
      <c r="C36" s="158"/>
      <c r="D36" s="170"/>
      <c r="E36" s="158"/>
      <c r="F36" s="99"/>
      <c r="G36" s="370"/>
    </row>
    <row r="37" spans="1:7" ht="14.25" thickBot="1">
      <c r="A37" s="402"/>
      <c r="B37" s="178" t="s">
        <v>65</v>
      </c>
      <c r="C37" s="463">
        <f>+SUM(C21:C35)</f>
        <v>2311800</v>
      </c>
      <c r="D37" s="464">
        <f>+SUM(D21:D35)</f>
        <v>100.00000000000001</v>
      </c>
      <c r="E37" s="463">
        <f>+SUM(E21:E35)</f>
        <v>2283000</v>
      </c>
      <c r="F37" s="465">
        <f>+SUM(F21:F35)</f>
        <v>100</v>
      </c>
      <c r="G37" s="466">
        <f>+E37/C37*100</f>
        <v>98.75421749286271</v>
      </c>
    </row>
    <row r="38" spans="1:7" ht="13.5">
      <c r="A38" s="40"/>
      <c r="B38" s="40"/>
      <c r="C38" s="41"/>
      <c r="D38" s="41"/>
      <c r="E38" s="118"/>
      <c r="F38" s="118"/>
      <c r="G38" s="99"/>
    </row>
    <row r="39" spans="1:7" ht="14.25" thickBot="1">
      <c r="A39" s="40"/>
      <c r="B39" s="40"/>
      <c r="C39" s="41"/>
      <c r="D39" s="41"/>
      <c r="E39" s="118"/>
      <c r="F39" s="118"/>
      <c r="G39" s="99"/>
    </row>
    <row r="40" spans="1:7" ht="14.25" thickBot="1">
      <c r="A40" s="178" t="s">
        <v>67</v>
      </c>
      <c r="B40" s="184" t="s">
        <v>99</v>
      </c>
      <c r="C40" s="41"/>
      <c r="D40" s="41"/>
      <c r="E40" s="113">
        <f>'PJ-PiJP-rashod-ok'!E178</f>
        <v>2006302.239</v>
      </c>
      <c r="F40" s="185" t="s">
        <v>82</v>
      </c>
      <c r="G40" s="99"/>
    </row>
    <row r="41" spans="3:7" ht="13.5">
      <c r="C41" s="41"/>
      <c r="D41" s="41"/>
      <c r="E41" s="41"/>
      <c r="F41" s="41"/>
      <c r="G41" s="99"/>
    </row>
    <row r="42" spans="1:7" ht="13.5">
      <c r="A42" s="183"/>
      <c r="B42" s="153" t="s">
        <v>69</v>
      </c>
      <c r="C42" s="41"/>
      <c r="D42" s="41"/>
      <c r="E42" s="137">
        <f>+E37-E40</f>
        <v>276697.76099999994</v>
      </c>
      <c r="F42" s="138" t="s">
        <v>82</v>
      </c>
      <c r="G42" s="99"/>
    </row>
    <row r="43" spans="1:7" ht="13.5">
      <c r="A43" s="40"/>
      <c r="B43" s="40"/>
      <c r="C43" s="41"/>
      <c r="D43" s="41"/>
      <c r="E43" s="118"/>
      <c r="F43" s="118"/>
      <c r="G43" s="99"/>
    </row>
    <row r="44" spans="1:7" ht="13.5">
      <c r="A44" s="40"/>
      <c r="B44" s="40"/>
      <c r="C44" s="41"/>
      <c r="D44" s="41"/>
      <c r="E44" s="118"/>
      <c r="F44" s="118"/>
      <c r="G44" s="99"/>
    </row>
    <row r="45" spans="5:7" ht="13.5">
      <c r="E45" s="119"/>
      <c r="F45" s="119"/>
      <c r="G45" s="99"/>
    </row>
    <row r="46" spans="1:7" ht="13.5">
      <c r="A46" s="75"/>
      <c r="B46" s="75"/>
      <c r="C46" s="41"/>
      <c r="D46" s="41"/>
      <c r="E46" s="118"/>
      <c r="F46" s="118"/>
      <c r="G46" s="99"/>
    </row>
    <row r="47" spans="1:7" ht="13.5">
      <c r="A47" s="75"/>
      <c r="B47" s="75"/>
      <c r="C47" s="41"/>
      <c r="D47" s="41"/>
      <c r="E47" s="118"/>
      <c r="F47" s="118"/>
      <c r="G47" s="99"/>
    </row>
    <row r="48" spans="1:7" ht="13.5">
      <c r="A48" s="75"/>
      <c r="B48" s="75"/>
      <c r="C48" s="41"/>
      <c r="D48" s="41"/>
      <c r="E48" s="118"/>
      <c r="F48" s="118"/>
      <c r="G48" s="99"/>
    </row>
    <row r="49" spans="5:7" ht="13.5">
      <c r="E49" s="119"/>
      <c r="F49" s="119"/>
      <c r="G49" s="99"/>
    </row>
    <row r="51" spans="3:6" ht="13.5">
      <c r="C51" s="41"/>
      <c r="D51" s="41"/>
      <c r="E51" s="41"/>
      <c r="F51" s="41"/>
    </row>
    <row r="55" spans="5:6" ht="13.5">
      <c r="E55" s="41"/>
      <c r="F55" s="41"/>
    </row>
    <row r="56" spans="1:7" ht="13.5">
      <c r="A56" s="100"/>
      <c r="B56" s="117"/>
      <c r="C56" s="99"/>
      <c r="D56" s="99"/>
      <c r="E56" s="97"/>
      <c r="F56" s="97"/>
      <c r="G56" s="99"/>
    </row>
    <row r="57" ht="13.5">
      <c r="B57" s="36"/>
    </row>
    <row r="58" spans="3:7" ht="13.5">
      <c r="C58" s="35"/>
      <c r="D58" s="35"/>
      <c r="E58" s="36"/>
      <c r="F58" s="36"/>
      <c r="G58" s="41"/>
    </row>
    <row r="59" spans="3:7" ht="13.5">
      <c r="C59" s="60"/>
      <c r="G59" s="108"/>
    </row>
    <row r="62" ht="13.5">
      <c r="C62" s="60"/>
    </row>
  </sheetData>
  <sheetProtection/>
  <hyperlinks>
    <hyperlink ref="B6" r:id="rId1" display="www.ivanj.net"/>
  </hyperlinks>
  <printOptions/>
  <pageMargins left="0.5511811023622047" right="0.35433070866141736" top="0.3937007874015748" bottom="0.1968503937007874" header="0.5118110236220472" footer="0.5118110236220472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Ivanj</dc:creator>
  <cp:keywords/>
  <dc:description/>
  <cp:lastModifiedBy>Zoran Djak</cp:lastModifiedBy>
  <cp:lastPrinted>2017-03-08T09:26:24Z</cp:lastPrinted>
  <dcterms:created xsi:type="dcterms:W3CDTF">1980-01-21T17:52:00Z</dcterms:created>
  <dcterms:modified xsi:type="dcterms:W3CDTF">2017-03-08T09:27:36Z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